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12.xml" ContentType="application/vnd.openxmlformats-officedocument.drawing+xml"/>
  <Override PartName="/xl/tables/table1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spo-global.kpmg.com/sites/FR-PF-Adv-CLT-SP-Sante/Sante Publique/Missions/ARS BFC - Repertoire addicto/2. Outils de recueil/6. Actualisation 2024/"/>
    </mc:Choice>
  </mc:AlternateContent>
  <xr:revisionPtr revIDLastSave="536" documentId="11_6E3113DD3E8198F1272A2E172CB4A997756F639E" xr6:coauthVersionLast="47" xr6:coauthVersionMax="47" xr10:uidLastSave="{ADFD3F10-B6CB-491F-9C4B-8EBE3410A9E5}"/>
  <bookViews>
    <workbookView xWindow="-110" yWindow="-110" windowWidth="19420" windowHeight="10420" activeTab="1" xr2:uid="{00000000-000D-0000-FFFF-FFFF00000000}"/>
  </bookViews>
  <sheets>
    <sheet name="Présentation globale" sheetId="1" r:id="rId1"/>
    <sheet name="Accès via professionnels " sheetId="3" r:id="rId2"/>
    <sheet name="Cotes d'Or (21)" sheetId="19" r:id="rId3"/>
    <sheet name="Jura (39)" sheetId="23" r:id="rId4"/>
    <sheet name="Nievre (58)" sheetId="24" r:id="rId5"/>
    <sheet name="Doubs (25)" sheetId="20" r:id="rId6"/>
    <sheet name="Haute-Saône (70)" sheetId="25" r:id="rId7"/>
    <sheet name="Saône-et-Loire (71)" sheetId="26" r:id="rId8"/>
    <sheet name="Yonne (89)" sheetId="22" r:id="rId9"/>
    <sheet name="Territoire de Belfort (90)" sheetId="27" r:id="rId10"/>
    <sheet name="Nord-Franche-Comté" sheetId="28" r:id="rId11"/>
    <sheet name="Sevrage simple" sheetId="6" state="hidden" r:id="rId12"/>
    <sheet name="Soins complexes" sheetId="7" state="hidden" r:id="rId13"/>
    <sheet name="ELSA" sheetId="8" state="hidden" r:id="rId14"/>
    <sheet name="Hospi de jour" sheetId="16" state="hidden" r:id="rId15"/>
    <sheet name="Penitentier" sheetId="17" state="hidden" r:id="rId16"/>
    <sheet name="SSRA2" sheetId="9" state="hidden" r:id="rId17"/>
    <sheet name="Acces direct" sheetId="10" r:id="rId18"/>
  </sheets>
  <definedNames>
    <definedName name="_xlnm._FilterDatabase" localSheetId="17" hidden="1">'Acces direct'!$C$5:$N$16</definedName>
    <definedName name="_xlnm._FilterDatabase" localSheetId="6" hidden="1">'Haute-Saône (70)'!$C$5:$N$30</definedName>
    <definedName name="_xlnm._FilterDatabase" localSheetId="4" hidden="1">'Nievre (58)'!$C$5:$N$5</definedName>
    <definedName name="_xlnm._FilterDatabase" localSheetId="7" hidden="1">'Saône-et-Loire (71)'!$C$5:$N$28</definedName>
    <definedName name="_xlnm._FilterDatabase" localSheetId="9" hidden="1">'Territoire de Belfort (90)'!$C$5:$N$16</definedName>
    <definedName name="_xlnm._FilterDatabase" localSheetId="8" hidden="1">'Yonne (89)'!$C$5:$N$5</definedName>
    <definedName name="asso">'Sevrage simple'!#REF!</definedName>
    <definedName name="CAARUD">#REF!</definedName>
    <definedName name="CAARUDCotesdOr">'Cotes d''Or (21)'!#REF!</definedName>
    <definedName name="CEACotesdOr">'Cotes d''Or (21)'!#REF!</definedName>
    <definedName name="Centre">#REF!</definedName>
    <definedName name="ch">#REF!</definedName>
    <definedName name="CJC">#REF!</definedName>
    <definedName name="CJCCotesdOr">'Cotes d''Or (21)'!#REF!</definedName>
    <definedName name="CSAPA">#REF!</definedName>
    <definedName name="CSAPACotesdOr">'Cotes d''Or (21)'!#REF!</definedName>
    <definedName name="elsa">ELSA!#REF!</definedName>
    <definedName name="ELSACotesdOr">'Cotes d''Or (21)'!#REF!</definedName>
    <definedName name="hospijour">'Hospi de jour'!$B$1</definedName>
    <definedName name="HospijourCotesdOr">'Cotes d''Or (21)'!#REF!</definedName>
    <definedName name="LitsCotesdOr">'Cotes d''Or (21)'!#REF!</definedName>
    <definedName name="medico">'Présentation globale'!$K$222</definedName>
    <definedName name="péni" localSheetId="14">'Hospi de jour'!$B$1</definedName>
    <definedName name="péni" localSheetId="15">Penitentier!$B$1</definedName>
    <definedName name="péni">SSRA2!$B$1</definedName>
    <definedName name="penimss">#REF!</definedName>
    <definedName name="sanitaire">'Présentation globale'!$K$129</definedName>
    <definedName name="SMRACotesdOr">'Cotes d''Or (21)'!#REF!</definedName>
    <definedName name="sommaire">'Présentation globale'!$C$2</definedName>
    <definedName name="ssra">'Soins complexes'!#REF!</definedName>
    <definedName name="SSRA2" localSheetId="15">Penitentier!$B$1</definedName>
    <definedName name="SSRA2">SSRA2!$B$1</definedName>
    <definedName name="ssrasani" localSheetId="15">Penitentier!$B$1</definedName>
    <definedName name="ssrasani">SSRA2!$B$1</definedName>
    <definedName name="toutes_ss" localSheetId="17">'Acces direct'!$C$3</definedName>
    <definedName name="toutes_ss">'Accès via professionnels '!$C$3</definedName>
    <definedName name="UniteCotesdOr">'Cotes d''Or (21)'!#REF!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20" l="1"/>
  <c r="C32" i="26" l="1"/>
  <c r="D32" i="26"/>
  <c r="E32" i="26"/>
  <c r="F32" i="26"/>
  <c r="G32" i="26"/>
  <c r="H32" i="26"/>
  <c r="I32" i="26"/>
  <c r="J32" i="26"/>
  <c r="K32" i="26"/>
  <c r="L32" i="26"/>
  <c r="M32" i="26"/>
  <c r="N32" i="26"/>
  <c r="C25" i="26"/>
  <c r="D25" i="26"/>
  <c r="E25" i="26"/>
  <c r="F25" i="26"/>
  <c r="G25" i="26"/>
  <c r="H25" i="26"/>
  <c r="I25" i="26"/>
  <c r="J25" i="26"/>
  <c r="K25" i="26"/>
  <c r="L25" i="26"/>
  <c r="M25" i="26"/>
  <c r="N25" i="26"/>
  <c r="C21" i="22" l="1"/>
  <c r="C22" i="22"/>
  <c r="C23" i="22"/>
  <c r="C24" i="22"/>
  <c r="D21" i="22"/>
  <c r="D22" i="22"/>
  <c r="D23" i="22"/>
  <c r="D24" i="22"/>
  <c r="E21" i="22"/>
  <c r="E22" i="22"/>
  <c r="E23" i="22"/>
  <c r="E24" i="22"/>
  <c r="F21" i="22"/>
  <c r="F22" i="22"/>
  <c r="F23" i="22"/>
  <c r="F24" i="22"/>
  <c r="G21" i="22"/>
  <c r="G22" i="22"/>
  <c r="G23" i="22"/>
  <c r="G24" i="22"/>
  <c r="H21" i="22"/>
  <c r="H22" i="22"/>
  <c r="H23" i="22"/>
  <c r="H24" i="22"/>
  <c r="I21" i="22"/>
  <c r="I22" i="22"/>
  <c r="I23" i="22"/>
  <c r="I24" i="22"/>
  <c r="J21" i="22"/>
  <c r="J22" i="22"/>
  <c r="J23" i="22"/>
  <c r="J24" i="22"/>
  <c r="K21" i="22"/>
  <c r="K22" i="22"/>
  <c r="K23" i="22"/>
  <c r="K24" i="22"/>
  <c r="L21" i="22"/>
  <c r="L22" i="22"/>
  <c r="L23" i="22"/>
  <c r="L24" i="22"/>
  <c r="M21" i="22"/>
  <c r="M22" i="22"/>
  <c r="M23" i="22"/>
  <c r="M24" i="22"/>
  <c r="C18" i="19"/>
  <c r="D18" i="19"/>
  <c r="E18" i="19"/>
  <c r="F18" i="19"/>
  <c r="G18" i="19"/>
  <c r="H18" i="19"/>
  <c r="I18" i="19"/>
  <c r="J18" i="19"/>
  <c r="K18" i="19"/>
  <c r="L18" i="19"/>
  <c r="M18" i="19"/>
  <c r="C38" i="19"/>
  <c r="D38" i="19"/>
  <c r="E38" i="19"/>
  <c r="F38" i="19"/>
  <c r="G38" i="19"/>
  <c r="H38" i="19"/>
  <c r="I38" i="19"/>
  <c r="J38" i="19"/>
  <c r="K38" i="19"/>
  <c r="L38" i="19"/>
  <c r="M38" i="19"/>
  <c r="M28" i="25"/>
  <c r="I13" i="28" l="1"/>
  <c r="C35" i="25"/>
  <c r="D35" i="25"/>
  <c r="E35" i="25"/>
  <c r="F35" i="25"/>
  <c r="G35" i="25"/>
  <c r="H35" i="25"/>
  <c r="I35" i="25"/>
  <c r="J35" i="25"/>
  <c r="K35" i="25"/>
  <c r="L35" i="25"/>
  <c r="M35" i="25"/>
  <c r="N35" i="25"/>
  <c r="C21" i="26"/>
  <c r="D21" i="26"/>
  <c r="E21" i="26"/>
  <c r="F21" i="26"/>
  <c r="G21" i="26"/>
  <c r="H21" i="26"/>
  <c r="I21" i="26"/>
  <c r="J21" i="26"/>
  <c r="K21" i="26"/>
  <c r="L21" i="26"/>
  <c r="M21" i="26"/>
  <c r="N21" i="26"/>
  <c r="C22" i="26"/>
  <c r="D22" i="26"/>
  <c r="E22" i="26"/>
  <c r="F22" i="26"/>
  <c r="G22" i="26"/>
  <c r="H22" i="26"/>
  <c r="I22" i="26"/>
  <c r="J22" i="26"/>
  <c r="K22" i="26"/>
  <c r="L22" i="26"/>
  <c r="M22" i="26"/>
  <c r="N22" i="26"/>
  <c r="C13" i="28"/>
  <c r="D13" i="28"/>
  <c r="E13" i="28"/>
  <c r="F13" i="28"/>
  <c r="G13" i="28"/>
  <c r="H13" i="28"/>
  <c r="J13" i="28"/>
  <c r="K13" i="28"/>
  <c r="L13" i="28"/>
  <c r="M13" i="28"/>
  <c r="C23" i="23" l="1"/>
  <c r="D23" i="23"/>
  <c r="E23" i="23"/>
  <c r="F23" i="23"/>
  <c r="G23" i="23"/>
  <c r="H23" i="23"/>
  <c r="I23" i="23"/>
  <c r="J23" i="23"/>
  <c r="K23" i="23"/>
  <c r="L23" i="23"/>
  <c r="M23" i="23"/>
  <c r="N23" i="23"/>
  <c r="C33" i="20"/>
  <c r="D33" i="20"/>
  <c r="E33" i="20"/>
  <c r="F33" i="20"/>
  <c r="G33" i="20"/>
  <c r="H33" i="20"/>
  <c r="I33" i="20"/>
  <c r="J33" i="20"/>
  <c r="K33" i="20"/>
  <c r="M33" i="20"/>
  <c r="N33" i="20"/>
  <c r="C31" i="20"/>
  <c r="D31" i="20"/>
  <c r="E31" i="20"/>
  <c r="F31" i="20"/>
  <c r="G31" i="20"/>
  <c r="H31" i="20"/>
  <c r="I31" i="20"/>
  <c r="J31" i="20"/>
  <c r="K31" i="20"/>
  <c r="L31" i="20"/>
  <c r="M31" i="20"/>
  <c r="N31" i="20"/>
  <c r="C17" i="28"/>
  <c r="D17" i="28"/>
  <c r="E17" i="28"/>
  <c r="F17" i="28"/>
  <c r="G17" i="28"/>
  <c r="H17" i="28"/>
  <c r="I17" i="28"/>
  <c r="J17" i="28"/>
  <c r="K17" i="28"/>
  <c r="L17" i="28"/>
  <c r="M17" i="28"/>
  <c r="C25" i="22"/>
  <c r="D25" i="22"/>
  <c r="E25" i="22"/>
  <c r="F25" i="22"/>
  <c r="G25" i="22"/>
  <c r="H25" i="22"/>
  <c r="I25" i="22"/>
  <c r="J25" i="22"/>
  <c r="K25" i="22"/>
  <c r="L25" i="22"/>
  <c r="C26" i="22"/>
  <c r="D26" i="22"/>
  <c r="E26" i="22"/>
  <c r="F26" i="22"/>
  <c r="G26" i="22"/>
  <c r="H26" i="22"/>
  <c r="I26" i="22"/>
  <c r="J26" i="22"/>
  <c r="K26" i="22"/>
  <c r="L26" i="22"/>
  <c r="N26" i="22"/>
  <c r="C6" i="27"/>
  <c r="C7" i="27"/>
  <c r="C11" i="27"/>
  <c r="C8" i="27"/>
  <c r="C9" i="27"/>
  <c r="C12" i="27"/>
  <c r="C10" i="27"/>
  <c r="C13" i="27"/>
  <c r="C14" i="27"/>
  <c r="C16" i="27"/>
  <c r="C15" i="27"/>
  <c r="D6" i="27"/>
  <c r="D7" i="27"/>
  <c r="D11" i="27"/>
  <c r="D8" i="27"/>
  <c r="D9" i="27"/>
  <c r="D12" i="27"/>
  <c r="D10" i="27"/>
  <c r="D13" i="27"/>
  <c r="D14" i="27"/>
  <c r="D16" i="27"/>
  <c r="D15" i="27"/>
  <c r="E6" i="27"/>
  <c r="E7" i="27"/>
  <c r="E11" i="27"/>
  <c r="E8" i="27"/>
  <c r="E9" i="27"/>
  <c r="E12" i="27"/>
  <c r="E10" i="27"/>
  <c r="E13" i="27"/>
  <c r="E14" i="27"/>
  <c r="E16" i="27"/>
  <c r="E15" i="27"/>
  <c r="F6" i="27"/>
  <c r="F7" i="27"/>
  <c r="F11" i="27"/>
  <c r="F8" i="27"/>
  <c r="F9" i="27"/>
  <c r="F12" i="27"/>
  <c r="F10" i="27"/>
  <c r="F13" i="27"/>
  <c r="F14" i="27"/>
  <c r="F16" i="27"/>
  <c r="F15" i="27"/>
  <c r="G6" i="27"/>
  <c r="G7" i="27"/>
  <c r="G11" i="27"/>
  <c r="G8" i="27"/>
  <c r="G9" i="27"/>
  <c r="G12" i="27"/>
  <c r="G10" i="27"/>
  <c r="G13" i="27"/>
  <c r="G14" i="27"/>
  <c r="G16" i="27"/>
  <c r="G15" i="27"/>
  <c r="H6" i="27"/>
  <c r="H7" i="27"/>
  <c r="H11" i="27"/>
  <c r="H8" i="27"/>
  <c r="H9" i="27"/>
  <c r="H12" i="27"/>
  <c r="H10" i="27"/>
  <c r="H13" i="27"/>
  <c r="H14" i="27"/>
  <c r="H16" i="27"/>
  <c r="H15" i="27"/>
  <c r="I6" i="27"/>
  <c r="I7" i="27"/>
  <c r="I11" i="27"/>
  <c r="I8" i="27"/>
  <c r="I9" i="27"/>
  <c r="I12" i="27"/>
  <c r="I10" i="27"/>
  <c r="I13" i="27"/>
  <c r="I14" i="27"/>
  <c r="I16" i="27"/>
  <c r="I15" i="27"/>
  <c r="J6" i="27"/>
  <c r="J7" i="27"/>
  <c r="J11" i="27"/>
  <c r="J8" i="27"/>
  <c r="J9" i="27"/>
  <c r="J12" i="27"/>
  <c r="J10" i="27"/>
  <c r="J13" i="27"/>
  <c r="J14" i="27"/>
  <c r="J16" i="27"/>
  <c r="J15" i="27"/>
  <c r="K6" i="27"/>
  <c r="K7" i="27"/>
  <c r="K11" i="27"/>
  <c r="K8" i="27"/>
  <c r="K9" i="27"/>
  <c r="K12" i="27"/>
  <c r="K10" i="27"/>
  <c r="K13" i="27"/>
  <c r="K14" i="27"/>
  <c r="K16" i="27"/>
  <c r="K15" i="27"/>
  <c r="L6" i="27"/>
  <c r="L7" i="27"/>
  <c r="L11" i="27"/>
  <c r="L8" i="27"/>
  <c r="L9" i="27"/>
  <c r="L12" i="27"/>
  <c r="L10" i="27"/>
  <c r="L13" i="27"/>
  <c r="L14" i="27"/>
  <c r="L16" i="27"/>
  <c r="L15" i="27"/>
  <c r="M6" i="27"/>
  <c r="M7" i="27"/>
  <c r="M11" i="27"/>
  <c r="M8" i="27"/>
  <c r="M9" i="27"/>
  <c r="M12" i="27"/>
  <c r="M10" i="27"/>
  <c r="M13" i="27"/>
  <c r="M14" i="27"/>
  <c r="M16" i="27"/>
  <c r="M15" i="27"/>
  <c r="N6" i="27"/>
  <c r="N7" i="27"/>
  <c r="N11" i="27"/>
  <c r="N8" i="27"/>
  <c r="N9" i="27"/>
  <c r="N12" i="27"/>
  <c r="N10" i="27"/>
  <c r="N13" i="27"/>
  <c r="N14" i="27"/>
  <c r="N16" i="27"/>
  <c r="N15" i="27"/>
  <c r="M29" i="19"/>
  <c r="M25" i="19"/>
  <c r="M28" i="19"/>
  <c r="M24" i="19"/>
  <c r="M26" i="19"/>
  <c r="N7" i="19"/>
  <c r="N6" i="19"/>
  <c r="N8" i="19"/>
  <c r="N9" i="19"/>
  <c r="N11" i="19"/>
  <c r="N10" i="19"/>
  <c r="N12" i="19"/>
  <c r="N14" i="19"/>
  <c r="N15" i="19"/>
  <c r="N16" i="19"/>
  <c r="N17" i="19"/>
  <c r="N13" i="19"/>
  <c r="N21" i="19"/>
  <c r="N22" i="19"/>
  <c r="N34" i="19"/>
  <c r="N23" i="19"/>
  <c r="N27" i="19"/>
  <c r="N31" i="19"/>
  <c r="N33" i="19"/>
  <c r="N19" i="19"/>
  <c r="N26" i="19"/>
  <c r="N24" i="19"/>
  <c r="N28" i="19"/>
  <c r="N20" i="19"/>
  <c r="N25" i="19"/>
  <c r="N29" i="19"/>
  <c r="N30" i="19"/>
  <c r="N32" i="19"/>
  <c r="N36" i="19"/>
  <c r="N35" i="19"/>
  <c r="N37" i="19"/>
  <c r="N40" i="19"/>
  <c r="N39" i="19"/>
  <c r="N41" i="19"/>
  <c r="N42" i="19"/>
  <c r="N43" i="19"/>
  <c r="N44" i="19"/>
  <c r="N45" i="19"/>
  <c r="N46" i="19"/>
  <c r="N47" i="19"/>
  <c r="L40" i="19"/>
  <c r="L37" i="19"/>
  <c r="M47" i="19"/>
  <c r="M46" i="19"/>
  <c r="L44" i="19"/>
  <c r="L42" i="19"/>
  <c r="L41" i="19"/>
  <c r="K41" i="19"/>
  <c r="K7" i="19"/>
  <c r="K6" i="19"/>
  <c r="K8" i="19"/>
  <c r="K9" i="19"/>
  <c r="K11" i="19"/>
  <c r="K10" i="19"/>
  <c r="K12" i="19"/>
  <c r="K14" i="19"/>
  <c r="K15" i="19"/>
  <c r="K16" i="19"/>
  <c r="K17" i="19"/>
  <c r="K13" i="19"/>
  <c r="K21" i="19"/>
  <c r="K22" i="19"/>
  <c r="K34" i="19"/>
  <c r="K23" i="19"/>
  <c r="K27" i="19"/>
  <c r="K31" i="19"/>
  <c r="K33" i="19"/>
  <c r="K19" i="19"/>
  <c r="K26" i="19"/>
  <c r="K24" i="19"/>
  <c r="K28" i="19"/>
  <c r="K20" i="19"/>
  <c r="K25" i="19"/>
  <c r="K29" i="19"/>
  <c r="K30" i="19"/>
  <c r="K32" i="19"/>
  <c r="K36" i="19"/>
  <c r="K35" i="19"/>
  <c r="K37" i="19"/>
  <c r="K40" i="19"/>
  <c r="K39" i="19"/>
  <c r="K42" i="19"/>
  <c r="K43" i="19"/>
  <c r="K44" i="19"/>
  <c r="K45" i="19"/>
  <c r="K46" i="19"/>
  <c r="K47" i="19"/>
  <c r="J7" i="19"/>
  <c r="J6" i="19"/>
  <c r="J8" i="19"/>
  <c r="J9" i="19"/>
  <c r="J11" i="19"/>
  <c r="J10" i="19"/>
  <c r="J12" i="19"/>
  <c r="J14" i="19"/>
  <c r="J15" i="19"/>
  <c r="J16" i="19"/>
  <c r="J17" i="19"/>
  <c r="J13" i="19"/>
  <c r="J21" i="19"/>
  <c r="J22" i="19"/>
  <c r="J34" i="19"/>
  <c r="J23" i="19"/>
  <c r="J27" i="19"/>
  <c r="J31" i="19"/>
  <c r="J33" i="19"/>
  <c r="J19" i="19"/>
  <c r="J26" i="19"/>
  <c r="J24" i="19"/>
  <c r="J28" i="19"/>
  <c r="J20" i="19"/>
  <c r="J25" i="19"/>
  <c r="J29" i="19"/>
  <c r="J30" i="19"/>
  <c r="J32" i="19"/>
  <c r="J36" i="19"/>
  <c r="J35" i="19"/>
  <c r="J37" i="19"/>
  <c r="J40" i="19"/>
  <c r="J39" i="19"/>
  <c r="J41" i="19"/>
  <c r="J42" i="19"/>
  <c r="J43" i="19"/>
  <c r="J44" i="19"/>
  <c r="J45" i="19"/>
  <c r="J46" i="19"/>
  <c r="J47" i="19"/>
  <c r="H7" i="19"/>
  <c r="H6" i="19"/>
  <c r="H8" i="19"/>
  <c r="H9" i="19"/>
  <c r="H11" i="19"/>
  <c r="H10" i="19"/>
  <c r="H12" i="19"/>
  <c r="H14" i="19"/>
  <c r="H15" i="19"/>
  <c r="H16" i="19"/>
  <c r="H17" i="19"/>
  <c r="H13" i="19"/>
  <c r="H21" i="19"/>
  <c r="H22" i="19"/>
  <c r="H34" i="19"/>
  <c r="H23" i="19"/>
  <c r="H27" i="19"/>
  <c r="H31" i="19"/>
  <c r="H33" i="19"/>
  <c r="H19" i="19"/>
  <c r="H26" i="19"/>
  <c r="H24" i="19"/>
  <c r="H28" i="19"/>
  <c r="H20" i="19"/>
  <c r="H25" i="19"/>
  <c r="H29" i="19"/>
  <c r="H30" i="19"/>
  <c r="H32" i="19"/>
  <c r="H36" i="19"/>
  <c r="H35" i="19"/>
  <c r="H37" i="19"/>
  <c r="H40" i="19"/>
  <c r="H39" i="19"/>
  <c r="H41" i="19"/>
  <c r="H42" i="19"/>
  <c r="H43" i="19"/>
  <c r="H44" i="19"/>
  <c r="H45" i="19"/>
  <c r="H46" i="19"/>
  <c r="H47" i="19"/>
  <c r="G41" i="19"/>
  <c r="N23" i="10"/>
  <c r="N24" i="10"/>
  <c r="N25" i="10"/>
  <c r="N26" i="10"/>
  <c r="N16" i="10"/>
  <c r="N15" i="10"/>
  <c r="N17" i="10"/>
  <c r="N18" i="10"/>
  <c r="N36" i="10"/>
  <c r="N19" i="10"/>
  <c r="N41" i="10"/>
  <c r="N42" i="10"/>
  <c r="N43" i="10"/>
  <c r="N37" i="10"/>
  <c r="N38" i="10"/>
  <c r="N39" i="10"/>
  <c r="N40" i="10"/>
  <c r="N44" i="10"/>
  <c r="N45" i="10"/>
  <c r="N6" i="10"/>
  <c r="N20" i="10"/>
  <c r="N21" i="10"/>
  <c r="N22" i="10"/>
  <c r="N32" i="10"/>
  <c r="N33" i="10"/>
  <c r="N8" i="10"/>
  <c r="N35" i="10"/>
  <c r="N34" i="10"/>
  <c r="N9" i="10"/>
  <c r="N14" i="10"/>
  <c r="N10" i="10"/>
  <c r="N11" i="10"/>
  <c r="N12" i="10"/>
  <c r="N13" i="10"/>
  <c r="N31" i="10"/>
  <c r="N27" i="10"/>
  <c r="N28" i="10"/>
  <c r="N29" i="10"/>
  <c r="N30" i="10"/>
  <c r="M23" i="10"/>
  <c r="M24" i="10"/>
  <c r="M25" i="10"/>
  <c r="M26" i="10"/>
  <c r="M16" i="10"/>
  <c r="M15" i="10"/>
  <c r="M17" i="10"/>
  <c r="M18" i="10"/>
  <c r="M36" i="10"/>
  <c r="M19" i="10"/>
  <c r="M41" i="10"/>
  <c r="M42" i="10"/>
  <c r="M43" i="10"/>
  <c r="M37" i="10"/>
  <c r="M38" i="10"/>
  <c r="M39" i="10"/>
  <c r="M40" i="10"/>
  <c r="M45" i="10"/>
  <c r="M6" i="10"/>
  <c r="M20" i="10"/>
  <c r="M21" i="10"/>
  <c r="M22" i="10"/>
  <c r="M32" i="10"/>
  <c r="M33" i="10"/>
  <c r="M7" i="10"/>
  <c r="M8" i="10"/>
  <c r="M35" i="10"/>
  <c r="M34" i="10"/>
  <c r="M9" i="10"/>
  <c r="M14" i="10"/>
  <c r="M10" i="10"/>
  <c r="M11" i="10"/>
  <c r="M12" i="10"/>
  <c r="M13" i="10"/>
  <c r="M31" i="10"/>
  <c r="M27" i="10"/>
  <c r="M28" i="10"/>
  <c r="M29" i="10"/>
  <c r="M30" i="10"/>
  <c r="L23" i="10"/>
  <c r="L24" i="10"/>
  <c r="L25" i="10"/>
  <c r="L26" i="10"/>
  <c r="L16" i="10"/>
  <c r="L15" i="10"/>
  <c r="L17" i="10"/>
  <c r="L18" i="10"/>
  <c r="L36" i="10"/>
  <c r="L19" i="10"/>
  <c r="L41" i="10"/>
  <c r="L42" i="10"/>
  <c r="L43" i="10"/>
  <c r="L37" i="10"/>
  <c r="L38" i="10"/>
  <c r="L39" i="10"/>
  <c r="L40" i="10"/>
  <c r="L44" i="10"/>
  <c r="L45" i="10"/>
  <c r="L6" i="10"/>
  <c r="L20" i="10"/>
  <c r="L21" i="10"/>
  <c r="L22" i="10"/>
  <c r="L32" i="10"/>
  <c r="L33" i="10"/>
  <c r="L8" i="10"/>
  <c r="L35" i="10"/>
  <c r="L34" i="10"/>
  <c r="L9" i="10"/>
  <c r="L14" i="10"/>
  <c r="L10" i="10"/>
  <c r="L11" i="10"/>
  <c r="L12" i="10"/>
  <c r="L13" i="10"/>
  <c r="L31" i="10"/>
  <c r="L27" i="10"/>
  <c r="L28" i="10"/>
  <c r="L29" i="10"/>
  <c r="L30" i="10"/>
  <c r="K23" i="10"/>
  <c r="K24" i="10"/>
  <c r="K25" i="10"/>
  <c r="K26" i="10"/>
  <c r="K16" i="10"/>
  <c r="K15" i="10"/>
  <c r="K17" i="10"/>
  <c r="K18" i="10"/>
  <c r="K36" i="10"/>
  <c r="K19" i="10"/>
  <c r="K41" i="10"/>
  <c r="K42" i="10"/>
  <c r="K43" i="10"/>
  <c r="K37" i="10"/>
  <c r="K38" i="10"/>
  <c r="K39" i="10"/>
  <c r="K40" i="10"/>
  <c r="K44" i="10"/>
  <c r="K45" i="10"/>
  <c r="K6" i="10"/>
  <c r="K20" i="10"/>
  <c r="K21" i="10"/>
  <c r="K22" i="10"/>
  <c r="K32" i="10"/>
  <c r="K33" i="10"/>
  <c r="K7" i="10"/>
  <c r="K8" i="10"/>
  <c r="K35" i="10"/>
  <c r="K34" i="10"/>
  <c r="K9" i="10"/>
  <c r="K14" i="10"/>
  <c r="K10" i="10"/>
  <c r="K11" i="10"/>
  <c r="K12" i="10"/>
  <c r="K13" i="10"/>
  <c r="K31" i="10"/>
  <c r="K27" i="10"/>
  <c r="K28" i="10"/>
  <c r="K29" i="10"/>
  <c r="K30" i="10"/>
  <c r="J23" i="10"/>
  <c r="J24" i="10"/>
  <c r="J25" i="10"/>
  <c r="J26" i="10"/>
  <c r="J16" i="10"/>
  <c r="J15" i="10"/>
  <c r="J17" i="10"/>
  <c r="J18" i="10"/>
  <c r="J36" i="10"/>
  <c r="J19" i="10"/>
  <c r="J41" i="10"/>
  <c r="J42" i="10"/>
  <c r="J43" i="10"/>
  <c r="J37" i="10"/>
  <c r="J38" i="10"/>
  <c r="J39" i="10"/>
  <c r="J40" i="10"/>
  <c r="J44" i="10"/>
  <c r="J45" i="10"/>
  <c r="J6" i="10"/>
  <c r="J20" i="10"/>
  <c r="J21" i="10"/>
  <c r="J22" i="10"/>
  <c r="J32" i="10"/>
  <c r="J33" i="10"/>
  <c r="J7" i="10"/>
  <c r="J8" i="10"/>
  <c r="J35" i="10"/>
  <c r="J34" i="10"/>
  <c r="J9" i="10"/>
  <c r="J14" i="10"/>
  <c r="J10" i="10"/>
  <c r="J11" i="10"/>
  <c r="J12" i="10"/>
  <c r="J13" i="10"/>
  <c r="J31" i="10"/>
  <c r="J27" i="10"/>
  <c r="J28" i="10"/>
  <c r="J29" i="10"/>
  <c r="J30" i="10"/>
  <c r="I23" i="10"/>
  <c r="I24" i="10"/>
  <c r="I25" i="10"/>
  <c r="I26" i="10"/>
  <c r="I16" i="10"/>
  <c r="I15" i="10"/>
  <c r="I17" i="10"/>
  <c r="I18" i="10"/>
  <c r="I36" i="10"/>
  <c r="I19" i="10"/>
  <c r="I41" i="10"/>
  <c r="I42" i="10"/>
  <c r="I43" i="10"/>
  <c r="I37" i="10"/>
  <c r="I38" i="10"/>
  <c r="I39" i="10"/>
  <c r="I40" i="10"/>
  <c r="I44" i="10"/>
  <c r="I45" i="10"/>
  <c r="I6" i="10"/>
  <c r="I20" i="10"/>
  <c r="I21" i="10"/>
  <c r="I22" i="10"/>
  <c r="I32" i="10"/>
  <c r="I33" i="10"/>
  <c r="I7" i="10"/>
  <c r="I8" i="10"/>
  <c r="I35" i="10"/>
  <c r="I34" i="10"/>
  <c r="I9" i="10"/>
  <c r="I14" i="10"/>
  <c r="I10" i="10"/>
  <c r="I11" i="10"/>
  <c r="I12" i="10"/>
  <c r="I13" i="10"/>
  <c r="I31" i="10"/>
  <c r="I27" i="10"/>
  <c r="I28" i="10"/>
  <c r="I29" i="10"/>
  <c r="I30" i="10"/>
  <c r="H23" i="10"/>
  <c r="H24" i="10"/>
  <c r="H25" i="10"/>
  <c r="H26" i="10"/>
  <c r="H16" i="10"/>
  <c r="H15" i="10"/>
  <c r="H17" i="10"/>
  <c r="H18" i="10"/>
  <c r="H36" i="10"/>
  <c r="H19" i="10"/>
  <c r="H41" i="10"/>
  <c r="H42" i="10"/>
  <c r="H43" i="10"/>
  <c r="H37" i="10"/>
  <c r="H38" i="10"/>
  <c r="H39" i="10"/>
  <c r="H40" i="10"/>
  <c r="H44" i="10"/>
  <c r="H45" i="10"/>
  <c r="H6" i="10"/>
  <c r="H20" i="10"/>
  <c r="H21" i="10"/>
  <c r="H22" i="10"/>
  <c r="H32" i="10"/>
  <c r="H33" i="10"/>
  <c r="H7" i="10"/>
  <c r="H8" i="10"/>
  <c r="H35" i="10"/>
  <c r="H34" i="10"/>
  <c r="H9" i="10"/>
  <c r="H14" i="10"/>
  <c r="H10" i="10"/>
  <c r="H11" i="10"/>
  <c r="H12" i="10"/>
  <c r="H13" i="10"/>
  <c r="H31" i="10"/>
  <c r="H27" i="10"/>
  <c r="H28" i="10"/>
  <c r="H29" i="10"/>
  <c r="H30" i="10"/>
  <c r="G23" i="10"/>
  <c r="G24" i="10"/>
  <c r="G25" i="10"/>
  <c r="G26" i="10"/>
  <c r="G16" i="10"/>
  <c r="G15" i="10"/>
  <c r="G17" i="10"/>
  <c r="G18" i="10"/>
  <c r="G36" i="10"/>
  <c r="G19" i="10"/>
  <c r="G41" i="10"/>
  <c r="G42" i="10"/>
  <c r="G43" i="10"/>
  <c r="G37" i="10"/>
  <c r="G38" i="10"/>
  <c r="G39" i="10"/>
  <c r="G40" i="10"/>
  <c r="G44" i="10"/>
  <c r="G45" i="10"/>
  <c r="G6" i="10"/>
  <c r="G20" i="10"/>
  <c r="G21" i="10"/>
  <c r="G22" i="10"/>
  <c r="G32" i="10"/>
  <c r="G33" i="10"/>
  <c r="G7" i="10"/>
  <c r="G8" i="10"/>
  <c r="G35" i="10"/>
  <c r="G34" i="10"/>
  <c r="G9" i="10"/>
  <c r="G14" i="10"/>
  <c r="G10" i="10"/>
  <c r="G11" i="10"/>
  <c r="G12" i="10"/>
  <c r="G13" i="10"/>
  <c r="G31" i="10"/>
  <c r="G27" i="10"/>
  <c r="G28" i="10"/>
  <c r="G29" i="10"/>
  <c r="G30" i="10"/>
  <c r="F23" i="10"/>
  <c r="F24" i="10"/>
  <c r="F25" i="10"/>
  <c r="F26" i="10"/>
  <c r="F16" i="10"/>
  <c r="F15" i="10"/>
  <c r="F17" i="10"/>
  <c r="F18" i="10"/>
  <c r="F36" i="10"/>
  <c r="F19" i="10"/>
  <c r="F41" i="10"/>
  <c r="F42" i="10"/>
  <c r="F43" i="10"/>
  <c r="F37" i="10"/>
  <c r="F38" i="10"/>
  <c r="F39" i="10"/>
  <c r="F40" i="10"/>
  <c r="F44" i="10"/>
  <c r="F45" i="10"/>
  <c r="F6" i="10"/>
  <c r="F20" i="10"/>
  <c r="F21" i="10"/>
  <c r="F22" i="10"/>
  <c r="F32" i="10"/>
  <c r="F33" i="10"/>
  <c r="F7" i="10"/>
  <c r="F8" i="10"/>
  <c r="F35" i="10"/>
  <c r="F34" i="10"/>
  <c r="F9" i="10"/>
  <c r="F14" i="10"/>
  <c r="F10" i="10"/>
  <c r="F11" i="10"/>
  <c r="F12" i="10"/>
  <c r="F13" i="10"/>
  <c r="F31" i="10"/>
  <c r="F27" i="10"/>
  <c r="F28" i="10"/>
  <c r="F29" i="10"/>
  <c r="F30" i="10"/>
  <c r="E23" i="10"/>
  <c r="E24" i="10"/>
  <c r="E25" i="10"/>
  <c r="E26" i="10"/>
  <c r="E16" i="10"/>
  <c r="E15" i="10"/>
  <c r="E17" i="10"/>
  <c r="E18" i="10"/>
  <c r="E36" i="10"/>
  <c r="E19" i="10"/>
  <c r="E41" i="10"/>
  <c r="E42" i="10"/>
  <c r="E43" i="10"/>
  <c r="E37" i="10"/>
  <c r="E38" i="10"/>
  <c r="E39" i="10"/>
  <c r="E40" i="10"/>
  <c r="E44" i="10"/>
  <c r="E45" i="10"/>
  <c r="E6" i="10"/>
  <c r="E20" i="10"/>
  <c r="E21" i="10"/>
  <c r="E22" i="10"/>
  <c r="E32" i="10"/>
  <c r="E33" i="10"/>
  <c r="E7" i="10"/>
  <c r="E8" i="10"/>
  <c r="E35" i="10"/>
  <c r="E34" i="10"/>
  <c r="E9" i="10"/>
  <c r="E14" i="10"/>
  <c r="E10" i="10"/>
  <c r="E11" i="10"/>
  <c r="E12" i="10"/>
  <c r="E13" i="10"/>
  <c r="E31" i="10"/>
  <c r="E27" i="10"/>
  <c r="E28" i="10"/>
  <c r="E29" i="10"/>
  <c r="E30" i="10"/>
  <c r="D23" i="10"/>
  <c r="D24" i="10"/>
  <c r="D25" i="10"/>
  <c r="D26" i="10"/>
  <c r="D16" i="10"/>
  <c r="D15" i="10"/>
  <c r="D17" i="10"/>
  <c r="D18" i="10"/>
  <c r="D36" i="10"/>
  <c r="D19" i="10"/>
  <c r="D41" i="10"/>
  <c r="D42" i="10"/>
  <c r="D43" i="10"/>
  <c r="D37" i="10"/>
  <c r="D38" i="10"/>
  <c r="D39" i="10"/>
  <c r="D40" i="10"/>
  <c r="D44" i="10"/>
  <c r="D45" i="10"/>
  <c r="D6" i="10"/>
  <c r="D20" i="10"/>
  <c r="D21" i="10"/>
  <c r="D22" i="10"/>
  <c r="D32" i="10"/>
  <c r="D33" i="10"/>
  <c r="D7" i="10"/>
  <c r="D8" i="10"/>
  <c r="D35" i="10"/>
  <c r="D34" i="10"/>
  <c r="D9" i="10"/>
  <c r="D14" i="10"/>
  <c r="D10" i="10"/>
  <c r="D11" i="10"/>
  <c r="D12" i="10"/>
  <c r="D13" i="10"/>
  <c r="D31" i="10"/>
  <c r="D27" i="10"/>
  <c r="D28" i="10"/>
  <c r="D29" i="10"/>
  <c r="D30" i="10"/>
  <c r="C23" i="10"/>
  <c r="C24" i="10"/>
  <c r="C25" i="10"/>
  <c r="C26" i="10"/>
  <c r="C16" i="10"/>
  <c r="C15" i="10"/>
  <c r="C17" i="10"/>
  <c r="C18" i="10"/>
  <c r="C36" i="10"/>
  <c r="C19" i="10"/>
  <c r="C41" i="10"/>
  <c r="C42" i="10"/>
  <c r="C43" i="10"/>
  <c r="C37" i="10"/>
  <c r="C38" i="10"/>
  <c r="C39" i="10"/>
  <c r="C40" i="10"/>
  <c r="C44" i="10"/>
  <c r="C45" i="10"/>
  <c r="C6" i="10"/>
  <c r="C20" i="10"/>
  <c r="C21" i="10"/>
  <c r="C22" i="10"/>
  <c r="C32" i="10"/>
  <c r="C33" i="10"/>
  <c r="C7" i="10"/>
  <c r="C8" i="10"/>
  <c r="C35" i="10"/>
  <c r="C34" i="10"/>
  <c r="C9" i="10"/>
  <c r="C14" i="10"/>
  <c r="C10" i="10"/>
  <c r="C11" i="10"/>
  <c r="C12" i="10"/>
  <c r="C13" i="10"/>
  <c r="C31" i="10"/>
  <c r="C27" i="10"/>
  <c r="C28" i="10"/>
  <c r="C29" i="10"/>
  <c r="C30" i="10"/>
  <c r="C6" i="22"/>
  <c r="C13" i="20" l="1"/>
  <c r="D13" i="20"/>
  <c r="E13" i="20"/>
  <c r="F13" i="20"/>
  <c r="G13" i="20"/>
  <c r="H13" i="20"/>
  <c r="I13" i="20"/>
  <c r="J13" i="20"/>
  <c r="K13" i="20"/>
  <c r="M13" i="20"/>
  <c r="N13" i="20"/>
  <c r="C7" i="19"/>
  <c r="C6" i="20"/>
  <c r="C30" i="26"/>
  <c r="D30" i="26"/>
  <c r="E30" i="26"/>
  <c r="F30" i="26"/>
  <c r="G30" i="26"/>
  <c r="H30" i="26"/>
  <c r="I30" i="26"/>
  <c r="J30" i="26"/>
  <c r="K30" i="26"/>
  <c r="N30" i="26"/>
  <c r="C31" i="26"/>
  <c r="D31" i="26"/>
  <c r="E31" i="26"/>
  <c r="F31" i="26"/>
  <c r="G31" i="26"/>
  <c r="H31" i="26"/>
  <c r="I31" i="26"/>
  <c r="J31" i="26"/>
  <c r="K31" i="26"/>
  <c r="N31" i="26"/>
  <c r="M19" i="28"/>
  <c r="M18" i="28"/>
  <c r="M20" i="28"/>
  <c r="M16" i="28"/>
  <c r="M15" i="28"/>
  <c r="M6" i="28"/>
  <c r="M7" i="28"/>
  <c r="M11" i="28"/>
  <c r="M8" i="28"/>
  <c r="M9" i="28"/>
  <c r="M12" i="28"/>
  <c r="M10" i="28"/>
  <c r="M14" i="28"/>
  <c r="M22" i="28"/>
  <c r="M21" i="28"/>
  <c r="L19" i="28"/>
  <c r="L18" i="28"/>
  <c r="L20" i="28"/>
  <c r="L16" i="28"/>
  <c r="L15" i="28"/>
  <c r="L6" i="28"/>
  <c r="L7" i="28"/>
  <c r="L11" i="28"/>
  <c r="L8" i="28"/>
  <c r="L9" i="28"/>
  <c r="L12" i="28"/>
  <c r="L10" i="28"/>
  <c r="L14" i="28"/>
  <c r="L22" i="28"/>
  <c r="L21" i="28"/>
  <c r="K19" i="28"/>
  <c r="K18" i="28"/>
  <c r="K20" i="28"/>
  <c r="K16" i="28"/>
  <c r="K15" i="28"/>
  <c r="K6" i="28"/>
  <c r="K7" i="28"/>
  <c r="K11" i="28"/>
  <c r="K8" i="28"/>
  <c r="K9" i="28"/>
  <c r="K12" i="28"/>
  <c r="K10" i="28"/>
  <c r="K14" i="28"/>
  <c r="K22" i="28"/>
  <c r="K21" i="28"/>
  <c r="J19" i="28"/>
  <c r="J18" i="28"/>
  <c r="J20" i="28"/>
  <c r="J16" i="28"/>
  <c r="J15" i="28"/>
  <c r="J6" i="28"/>
  <c r="J7" i="28"/>
  <c r="J11" i="28"/>
  <c r="J8" i="28"/>
  <c r="J9" i="28"/>
  <c r="J12" i="28"/>
  <c r="J10" i="28"/>
  <c r="J14" i="28"/>
  <c r="J22" i="28"/>
  <c r="J21" i="28"/>
  <c r="I19" i="28"/>
  <c r="I18" i="28"/>
  <c r="I20" i="28"/>
  <c r="I16" i="28"/>
  <c r="I15" i="28"/>
  <c r="I6" i="28"/>
  <c r="I7" i="28"/>
  <c r="I11" i="28"/>
  <c r="I8" i="28"/>
  <c r="I9" i="28"/>
  <c r="I12" i="28"/>
  <c r="I10" i="28"/>
  <c r="I14" i="28"/>
  <c r="I22" i="28"/>
  <c r="I21" i="28"/>
  <c r="H19" i="28"/>
  <c r="H18" i="28"/>
  <c r="H20" i="28"/>
  <c r="H16" i="28"/>
  <c r="H15" i="28"/>
  <c r="H6" i="28"/>
  <c r="H7" i="28"/>
  <c r="H11" i="28"/>
  <c r="H8" i="28"/>
  <c r="H9" i="28"/>
  <c r="H12" i="28"/>
  <c r="H10" i="28"/>
  <c r="H14" i="28"/>
  <c r="H22" i="28"/>
  <c r="H21" i="28"/>
  <c r="G19" i="28"/>
  <c r="G18" i="28"/>
  <c r="G20" i="28"/>
  <c r="G16" i="28"/>
  <c r="G15" i="28"/>
  <c r="G6" i="28"/>
  <c r="G7" i="28"/>
  <c r="G11" i="28"/>
  <c r="G8" i="28"/>
  <c r="G9" i="28"/>
  <c r="G12" i="28"/>
  <c r="G10" i="28"/>
  <c r="G14" i="28"/>
  <c r="G22" i="28"/>
  <c r="G21" i="28"/>
  <c r="F19" i="28"/>
  <c r="F18" i="28"/>
  <c r="F20" i="28"/>
  <c r="F16" i="28"/>
  <c r="F15" i="28"/>
  <c r="F6" i="28"/>
  <c r="F7" i="28"/>
  <c r="F11" i="28"/>
  <c r="F8" i="28"/>
  <c r="F9" i="28"/>
  <c r="F12" i="28"/>
  <c r="F10" i="28"/>
  <c r="F14" i="28"/>
  <c r="F22" i="28"/>
  <c r="F21" i="28"/>
  <c r="E19" i="28"/>
  <c r="E18" i="28"/>
  <c r="E20" i="28"/>
  <c r="E16" i="28"/>
  <c r="E15" i="28"/>
  <c r="E6" i="28"/>
  <c r="E7" i="28"/>
  <c r="E11" i="28"/>
  <c r="E8" i="28"/>
  <c r="E9" i="28"/>
  <c r="E12" i="28"/>
  <c r="E10" i="28"/>
  <c r="E14" i="28"/>
  <c r="E22" i="28"/>
  <c r="E21" i="28"/>
  <c r="D19" i="28"/>
  <c r="D18" i="28"/>
  <c r="D20" i="28"/>
  <c r="D16" i="28"/>
  <c r="D15" i="28"/>
  <c r="D6" i="28"/>
  <c r="D7" i="28"/>
  <c r="D11" i="28"/>
  <c r="D8" i="28"/>
  <c r="D9" i="28"/>
  <c r="D12" i="28"/>
  <c r="D10" i="28"/>
  <c r="D14" i="28"/>
  <c r="D22" i="28"/>
  <c r="D21" i="28"/>
  <c r="C19" i="28"/>
  <c r="C18" i="28"/>
  <c r="C20" i="28"/>
  <c r="C16" i="28"/>
  <c r="C15" i="28"/>
  <c r="C6" i="28"/>
  <c r="C7" i="28"/>
  <c r="C11" i="28"/>
  <c r="C8" i="28"/>
  <c r="C9" i="28"/>
  <c r="C12" i="28"/>
  <c r="C10" i="28"/>
  <c r="C14" i="28"/>
  <c r="C22" i="28"/>
  <c r="C21" i="28"/>
  <c r="N6" i="22"/>
  <c r="N18" i="22"/>
  <c r="N7" i="22"/>
  <c r="N12" i="22"/>
  <c r="N16" i="22"/>
  <c r="N17" i="22"/>
  <c r="N8" i="22"/>
  <c r="N11" i="22"/>
  <c r="N9" i="22"/>
  <c r="N13" i="22"/>
  <c r="N14" i="22"/>
  <c r="N15" i="22"/>
  <c r="N10" i="22"/>
  <c r="N20" i="22"/>
  <c r="N19" i="22"/>
  <c r="N28" i="22"/>
  <c r="N27" i="22"/>
  <c r="N29" i="22"/>
  <c r="N31" i="22"/>
  <c r="N32" i="22"/>
  <c r="N30" i="22"/>
  <c r="N36" i="22"/>
  <c r="N34" i="22"/>
  <c r="N37" i="22"/>
  <c r="N38" i="22"/>
  <c r="N39" i="22"/>
  <c r="N33" i="22"/>
  <c r="N35" i="22"/>
  <c r="M6" i="22"/>
  <c r="M18" i="22"/>
  <c r="M7" i="22"/>
  <c r="M12" i="22"/>
  <c r="M16" i="22"/>
  <c r="M17" i="22"/>
  <c r="M8" i="22"/>
  <c r="M11" i="22"/>
  <c r="M9" i="22"/>
  <c r="M13" i="22"/>
  <c r="M14" i="22"/>
  <c r="M15" i="22"/>
  <c r="M10" i="22"/>
  <c r="M20" i="22"/>
  <c r="M19" i="22"/>
  <c r="M28" i="22"/>
  <c r="M27" i="22"/>
  <c r="M29" i="22"/>
  <c r="M31" i="22"/>
  <c r="M32" i="22"/>
  <c r="M30" i="22"/>
  <c r="M36" i="22"/>
  <c r="M34" i="22"/>
  <c r="M37" i="22"/>
  <c r="M38" i="22"/>
  <c r="M39" i="22"/>
  <c r="M33" i="22"/>
  <c r="M35" i="22"/>
  <c r="L6" i="22"/>
  <c r="L18" i="22"/>
  <c r="L7" i="22"/>
  <c r="L12" i="22"/>
  <c r="L16" i="22"/>
  <c r="L17" i="22"/>
  <c r="L8" i="22"/>
  <c r="L11" i="22"/>
  <c r="L9" i="22"/>
  <c r="L13" i="22"/>
  <c r="L14" i="22"/>
  <c r="L15" i="22"/>
  <c r="L10" i="22"/>
  <c r="L20" i="22"/>
  <c r="L19" i="22"/>
  <c r="L28" i="22"/>
  <c r="L27" i="22"/>
  <c r="L29" i="22"/>
  <c r="L31" i="22"/>
  <c r="L30" i="22"/>
  <c r="L36" i="22"/>
  <c r="L34" i="22"/>
  <c r="L37" i="22"/>
  <c r="L38" i="22"/>
  <c r="L39" i="22"/>
  <c r="L33" i="22"/>
  <c r="L35" i="22"/>
  <c r="K6" i="22"/>
  <c r="K18" i="22"/>
  <c r="K7" i="22"/>
  <c r="K12" i="22"/>
  <c r="K16" i="22"/>
  <c r="K17" i="22"/>
  <c r="K8" i="22"/>
  <c r="K11" i="22"/>
  <c r="K9" i="22"/>
  <c r="K13" i="22"/>
  <c r="K14" i="22"/>
  <c r="K15" i="22"/>
  <c r="K10" i="22"/>
  <c r="K20" i="22"/>
  <c r="K19" i="22"/>
  <c r="K28" i="22"/>
  <c r="K27" i="22"/>
  <c r="K29" i="22"/>
  <c r="K31" i="22"/>
  <c r="K32" i="22"/>
  <c r="K30" i="22"/>
  <c r="K36" i="22"/>
  <c r="K34" i="22"/>
  <c r="K37" i="22"/>
  <c r="K38" i="22"/>
  <c r="K39" i="22"/>
  <c r="K33" i="22"/>
  <c r="K35" i="22"/>
  <c r="J6" i="22"/>
  <c r="J18" i="22"/>
  <c r="J7" i="22"/>
  <c r="J12" i="22"/>
  <c r="J16" i="22"/>
  <c r="J17" i="22"/>
  <c r="J8" i="22"/>
  <c r="J11" i="22"/>
  <c r="J9" i="22"/>
  <c r="J13" i="22"/>
  <c r="J14" i="22"/>
  <c r="J15" i="22"/>
  <c r="J10" i="22"/>
  <c r="J20" i="22"/>
  <c r="J19" i="22"/>
  <c r="J28" i="22"/>
  <c r="J27" i="22"/>
  <c r="J29" i="22"/>
  <c r="J31" i="22"/>
  <c r="J32" i="22"/>
  <c r="J30" i="22"/>
  <c r="J36" i="22"/>
  <c r="J34" i="22"/>
  <c r="J37" i="22"/>
  <c r="J38" i="22"/>
  <c r="J39" i="22"/>
  <c r="J33" i="22"/>
  <c r="J35" i="22"/>
  <c r="I6" i="22"/>
  <c r="I18" i="22"/>
  <c r="I7" i="22"/>
  <c r="I12" i="22"/>
  <c r="I16" i="22"/>
  <c r="I17" i="22"/>
  <c r="I8" i="22"/>
  <c r="I11" i="22"/>
  <c r="I9" i="22"/>
  <c r="I13" i="22"/>
  <c r="I14" i="22"/>
  <c r="I15" i="22"/>
  <c r="I10" i="22"/>
  <c r="I20" i="22"/>
  <c r="I19" i="22"/>
  <c r="I28" i="22"/>
  <c r="I27" i="22"/>
  <c r="I29" i="22"/>
  <c r="I31" i="22"/>
  <c r="I32" i="22"/>
  <c r="I30" i="22"/>
  <c r="I36" i="22"/>
  <c r="I34" i="22"/>
  <c r="I37" i="22"/>
  <c r="I38" i="22"/>
  <c r="I39" i="22"/>
  <c r="I33" i="22"/>
  <c r="I35" i="22"/>
  <c r="H6" i="22"/>
  <c r="H18" i="22"/>
  <c r="H7" i="22"/>
  <c r="H12" i="22"/>
  <c r="H16" i="22"/>
  <c r="H17" i="22"/>
  <c r="H8" i="22"/>
  <c r="H11" i="22"/>
  <c r="H9" i="22"/>
  <c r="H13" i="22"/>
  <c r="H14" i="22"/>
  <c r="H15" i="22"/>
  <c r="H10" i="22"/>
  <c r="H20" i="22"/>
  <c r="H19" i="22"/>
  <c r="H28" i="22"/>
  <c r="H27" i="22"/>
  <c r="H29" i="22"/>
  <c r="H31" i="22"/>
  <c r="H32" i="22"/>
  <c r="H30" i="22"/>
  <c r="H36" i="22"/>
  <c r="H34" i="22"/>
  <c r="H37" i="22"/>
  <c r="H38" i="22"/>
  <c r="H39" i="22"/>
  <c r="H33" i="22"/>
  <c r="H35" i="22"/>
  <c r="G6" i="22"/>
  <c r="G18" i="22"/>
  <c r="G7" i="22"/>
  <c r="G12" i="22"/>
  <c r="G16" i="22"/>
  <c r="G17" i="22"/>
  <c r="G8" i="22"/>
  <c r="G11" i="22"/>
  <c r="G9" i="22"/>
  <c r="G13" i="22"/>
  <c r="G14" i="22"/>
  <c r="G15" i="22"/>
  <c r="G10" i="22"/>
  <c r="G20" i="22"/>
  <c r="G19" i="22"/>
  <c r="G28" i="22"/>
  <c r="G27" i="22"/>
  <c r="G29" i="22"/>
  <c r="G31" i="22"/>
  <c r="G32" i="22"/>
  <c r="G30" i="22"/>
  <c r="G36" i="22"/>
  <c r="G34" i="22"/>
  <c r="G37" i="22"/>
  <c r="G38" i="22"/>
  <c r="G39" i="22"/>
  <c r="G33" i="22"/>
  <c r="G35" i="22"/>
  <c r="F6" i="22"/>
  <c r="F18" i="22"/>
  <c r="F7" i="22"/>
  <c r="F12" i="22"/>
  <c r="F16" i="22"/>
  <c r="F17" i="22"/>
  <c r="F8" i="22"/>
  <c r="F11" i="22"/>
  <c r="F9" i="22"/>
  <c r="F13" i="22"/>
  <c r="F14" i="22"/>
  <c r="F15" i="22"/>
  <c r="F10" i="22"/>
  <c r="F20" i="22"/>
  <c r="F19" i="22"/>
  <c r="F28" i="22"/>
  <c r="F27" i="22"/>
  <c r="F29" i="22"/>
  <c r="F31" i="22"/>
  <c r="F32" i="22"/>
  <c r="F30" i="22"/>
  <c r="F36" i="22"/>
  <c r="F34" i="22"/>
  <c r="F37" i="22"/>
  <c r="F38" i="22"/>
  <c r="F39" i="22"/>
  <c r="F33" i="22"/>
  <c r="F35" i="22"/>
  <c r="E6" i="22"/>
  <c r="E18" i="22"/>
  <c r="E7" i="22"/>
  <c r="E12" i="22"/>
  <c r="E16" i="22"/>
  <c r="E17" i="22"/>
  <c r="E8" i="22"/>
  <c r="E11" i="22"/>
  <c r="E9" i="22"/>
  <c r="E13" i="22"/>
  <c r="E14" i="22"/>
  <c r="E15" i="22"/>
  <c r="E10" i="22"/>
  <c r="E20" i="22"/>
  <c r="E19" i="22"/>
  <c r="E28" i="22"/>
  <c r="E27" i="22"/>
  <c r="E29" i="22"/>
  <c r="E31" i="22"/>
  <c r="E32" i="22"/>
  <c r="E30" i="22"/>
  <c r="E36" i="22"/>
  <c r="E34" i="22"/>
  <c r="E37" i="22"/>
  <c r="E38" i="22"/>
  <c r="E39" i="22"/>
  <c r="E33" i="22"/>
  <c r="E35" i="22"/>
  <c r="D6" i="22"/>
  <c r="D18" i="22"/>
  <c r="D7" i="22"/>
  <c r="D12" i="22"/>
  <c r="D16" i="22"/>
  <c r="D17" i="22"/>
  <c r="D8" i="22"/>
  <c r="D11" i="22"/>
  <c r="D9" i="22"/>
  <c r="D13" i="22"/>
  <c r="D14" i="22"/>
  <c r="D15" i="22"/>
  <c r="D10" i="22"/>
  <c r="D20" i="22"/>
  <c r="D19" i="22"/>
  <c r="D28" i="22"/>
  <c r="D27" i="22"/>
  <c r="D29" i="22"/>
  <c r="D31" i="22"/>
  <c r="D32" i="22"/>
  <c r="D30" i="22"/>
  <c r="D36" i="22"/>
  <c r="D34" i="22"/>
  <c r="D37" i="22"/>
  <c r="D38" i="22"/>
  <c r="D39" i="22"/>
  <c r="D33" i="22"/>
  <c r="D35" i="22"/>
  <c r="C18" i="22"/>
  <c r="C7" i="22"/>
  <c r="C12" i="22"/>
  <c r="C16" i="22"/>
  <c r="C17" i="22"/>
  <c r="C8" i="22"/>
  <c r="C11" i="22"/>
  <c r="C9" i="22"/>
  <c r="C13" i="22"/>
  <c r="C14" i="22"/>
  <c r="C15" i="22"/>
  <c r="C10" i="22"/>
  <c r="C20" i="22"/>
  <c r="C19" i="22"/>
  <c r="C28" i="22"/>
  <c r="C27" i="22"/>
  <c r="C29" i="22"/>
  <c r="C31" i="22"/>
  <c r="C32" i="22"/>
  <c r="C30" i="22"/>
  <c r="C36" i="22"/>
  <c r="C34" i="22"/>
  <c r="C37" i="22"/>
  <c r="C38" i="22"/>
  <c r="C39" i="22"/>
  <c r="C33" i="22"/>
  <c r="C35" i="22"/>
  <c r="C6" i="26"/>
  <c r="N8" i="26"/>
  <c r="N7" i="26"/>
  <c r="N9" i="26"/>
  <c r="N10" i="26"/>
  <c r="N15" i="26"/>
  <c r="N14" i="26"/>
  <c r="N12" i="26"/>
  <c r="N13" i="26"/>
  <c r="N11" i="26"/>
  <c r="N16" i="26"/>
  <c r="N18" i="26"/>
  <c r="N17" i="26"/>
  <c r="N19" i="26"/>
  <c r="N20" i="26"/>
  <c r="N23" i="26"/>
  <c r="N24" i="26"/>
  <c r="N26" i="26"/>
  <c r="N27" i="26"/>
  <c r="N28" i="26"/>
  <c r="N29" i="26"/>
  <c r="N33" i="26"/>
  <c r="N34" i="26"/>
  <c r="N35" i="26"/>
  <c r="M6" i="26"/>
  <c r="M8" i="26"/>
  <c r="M7" i="26"/>
  <c r="M9" i="26"/>
  <c r="M10" i="26"/>
  <c r="M15" i="26"/>
  <c r="M14" i="26"/>
  <c r="M12" i="26"/>
  <c r="M13" i="26"/>
  <c r="M11" i="26"/>
  <c r="M16" i="26"/>
  <c r="M18" i="26"/>
  <c r="M17" i="26"/>
  <c r="M19" i="26"/>
  <c r="M20" i="26"/>
  <c r="M23" i="26"/>
  <c r="M24" i="26"/>
  <c r="M26" i="26"/>
  <c r="M27" i="26"/>
  <c r="M28" i="26"/>
  <c r="M29" i="26"/>
  <c r="M33" i="26"/>
  <c r="M34" i="26"/>
  <c r="M35" i="26"/>
  <c r="L8" i="26"/>
  <c r="L7" i="26"/>
  <c r="L9" i="26"/>
  <c r="L10" i="26"/>
  <c r="L15" i="26"/>
  <c r="L14" i="26"/>
  <c r="L12" i="26"/>
  <c r="L13" i="26"/>
  <c r="L11" i="26"/>
  <c r="L16" i="26"/>
  <c r="L18" i="26"/>
  <c r="L17" i="26"/>
  <c r="L19" i="26"/>
  <c r="L20" i="26"/>
  <c r="L23" i="26"/>
  <c r="L24" i="26"/>
  <c r="L26" i="26"/>
  <c r="L27" i="26"/>
  <c r="L28" i="26"/>
  <c r="L29" i="26"/>
  <c r="L33" i="26"/>
  <c r="L34" i="26"/>
  <c r="L35" i="26"/>
  <c r="K6" i="26"/>
  <c r="K8" i="26"/>
  <c r="K7" i="26"/>
  <c r="K9" i="26"/>
  <c r="K10" i="26"/>
  <c r="K15" i="26"/>
  <c r="K14" i="26"/>
  <c r="K12" i="26"/>
  <c r="K13" i="26"/>
  <c r="K11" i="26"/>
  <c r="K16" i="26"/>
  <c r="K18" i="26"/>
  <c r="K17" i="26"/>
  <c r="K19" i="26"/>
  <c r="K20" i="26"/>
  <c r="K23" i="26"/>
  <c r="K24" i="26"/>
  <c r="K26" i="26"/>
  <c r="K27" i="26"/>
  <c r="K28" i="26"/>
  <c r="K29" i="26"/>
  <c r="K33" i="26"/>
  <c r="K34" i="26"/>
  <c r="K35" i="26"/>
  <c r="J6" i="26"/>
  <c r="J8" i="26"/>
  <c r="J7" i="26"/>
  <c r="J9" i="26"/>
  <c r="J10" i="26"/>
  <c r="J15" i="26"/>
  <c r="J14" i="26"/>
  <c r="J12" i="26"/>
  <c r="J13" i="26"/>
  <c r="J11" i="26"/>
  <c r="J16" i="26"/>
  <c r="J18" i="26"/>
  <c r="J17" i="26"/>
  <c r="J19" i="26"/>
  <c r="J20" i="26"/>
  <c r="J23" i="26"/>
  <c r="J24" i="26"/>
  <c r="J26" i="26"/>
  <c r="J27" i="26"/>
  <c r="J28" i="26"/>
  <c r="J29" i="26"/>
  <c r="J33" i="26"/>
  <c r="J34" i="26"/>
  <c r="J35" i="26"/>
  <c r="I6" i="26"/>
  <c r="I8" i="26"/>
  <c r="I7" i="26"/>
  <c r="I9" i="26"/>
  <c r="I10" i="26"/>
  <c r="I15" i="26"/>
  <c r="I14" i="26"/>
  <c r="I12" i="26"/>
  <c r="I13" i="26"/>
  <c r="I11" i="26"/>
  <c r="I16" i="26"/>
  <c r="I18" i="26"/>
  <c r="I17" i="26"/>
  <c r="I19" i="26"/>
  <c r="I20" i="26"/>
  <c r="I23" i="26"/>
  <c r="I24" i="26"/>
  <c r="I26" i="26"/>
  <c r="I27" i="26"/>
  <c r="I28" i="26"/>
  <c r="I29" i="26"/>
  <c r="I33" i="26"/>
  <c r="I34" i="26"/>
  <c r="I35" i="26"/>
  <c r="H6" i="26"/>
  <c r="H8" i="26"/>
  <c r="H7" i="26"/>
  <c r="H9" i="26"/>
  <c r="H10" i="26"/>
  <c r="H15" i="26"/>
  <c r="H14" i="26"/>
  <c r="H12" i="26"/>
  <c r="H13" i="26"/>
  <c r="H11" i="26"/>
  <c r="H16" i="26"/>
  <c r="H18" i="26"/>
  <c r="H17" i="26"/>
  <c r="H19" i="26"/>
  <c r="H20" i="26"/>
  <c r="H23" i="26"/>
  <c r="H24" i="26"/>
  <c r="H26" i="26"/>
  <c r="H27" i="26"/>
  <c r="H28" i="26"/>
  <c r="H29" i="26"/>
  <c r="H33" i="26"/>
  <c r="H34" i="26"/>
  <c r="H35" i="26"/>
  <c r="G6" i="26"/>
  <c r="G8" i="26"/>
  <c r="G7" i="26"/>
  <c r="G9" i="26"/>
  <c r="G10" i="26"/>
  <c r="G15" i="26"/>
  <c r="G14" i="26"/>
  <c r="G12" i="26"/>
  <c r="G13" i="26"/>
  <c r="G11" i="26"/>
  <c r="G16" i="26"/>
  <c r="G18" i="26"/>
  <c r="G17" i="26"/>
  <c r="G19" i="26"/>
  <c r="G20" i="26"/>
  <c r="G23" i="26"/>
  <c r="G24" i="26"/>
  <c r="G26" i="26"/>
  <c r="G27" i="26"/>
  <c r="G28" i="26"/>
  <c r="G29" i="26"/>
  <c r="G33" i="26"/>
  <c r="G34" i="26"/>
  <c r="G35" i="26"/>
  <c r="F6" i="26"/>
  <c r="F8" i="26"/>
  <c r="F7" i="26"/>
  <c r="F9" i="26"/>
  <c r="F10" i="26"/>
  <c r="F15" i="26"/>
  <c r="F14" i="26"/>
  <c r="F12" i="26"/>
  <c r="F13" i="26"/>
  <c r="F11" i="26"/>
  <c r="F16" i="26"/>
  <c r="F18" i="26"/>
  <c r="F17" i="26"/>
  <c r="F19" i="26"/>
  <c r="F20" i="26"/>
  <c r="F23" i="26"/>
  <c r="F24" i="26"/>
  <c r="F26" i="26"/>
  <c r="F27" i="26"/>
  <c r="F28" i="26"/>
  <c r="F29" i="26"/>
  <c r="F33" i="26"/>
  <c r="F34" i="26"/>
  <c r="F35" i="26"/>
  <c r="E6" i="26"/>
  <c r="E8" i="26"/>
  <c r="E7" i="26"/>
  <c r="E9" i="26"/>
  <c r="E10" i="26"/>
  <c r="E15" i="26"/>
  <c r="E14" i="26"/>
  <c r="E12" i="26"/>
  <c r="E13" i="26"/>
  <c r="E11" i="26"/>
  <c r="E16" i="26"/>
  <c r="E18" i="26"/>
  <c r="E17" i="26"/>
  <c r="E19" i="26"/>
  <c r="E20" i="26"/>
  <c r="E23" i="26"/>
  <c r="E24" i="26"/>
  <c r="E26" i="26"/>
  <c r="E27" i="26"/>
  <c r="E28" i="26"/>
  <c r="E29" i="26"/>
  <c r="E33" i="26"/>
  <c r="E34" i="26"/>
  <c r="E35" i="26"/>
  <c r="D6" i="26"/>
  <c r="D8" i="26"/>
  <c r="D7" i="26"/>
  <c r="D9" i="26"/>
  <c r="D10" i="26"/>
  <c r="D15" i="26"/>
  <c r="D14" i="26"/>
  <c r="D12" i="26"/>
  <c r="D13" i="26"/>
  <c r="D11" i="26"/>
  <c r="D16" i="26"/>
  <c r="D18" i="26"/>
  <c r="D17" i="26"/>
  <c r="D19" i="26"/>
  <c r="D20" i="26"/>
  <c r="D23" i="26"/>
  <c r="D24" i="26"/>
  <c r="D26" i="26"/>
  <c r="D27" i="26"/>
  <c r="D28" i="26"/>
  <c r="D29" i="26"/>
  <c r="D33" i="26"/>
  <c r="D34" i="26"/>
  <c r="D35" i="26"/>
  <c r="C8" i="26"/>
  <c r="C7" i="26"/>
  <c r="C9" i="26"/>
  <c r="C10" i="26"/>
  <c r="C15" i="26"/>
  <c r="C14" i="26"/>
  <c r="C12" i="26"/>
  <c r="C13" i="26"/>
  <c r="C11" i="26"/>
  <c r="C16" i="26"/>
  <c r="C18" i="26"/>
  <c r="C17" i="26"/>
  <c r="C19" i="26"/>
  <c r="C20" i="26"/>
  <c r="C23" i="26"/>
  <c r="C24" i="26"/>
  <c r="C26" i="26"/>
  <c r="C27" i="26"/>
  <c r="C28" i="26"/>
  <c r="C29" i="26"/>
  <c r="C33" i="26"/>
  <c r="C34" i="26"/>
  <c r="C35" i="26"/>
  <c r="C8" i="25"/>
  <c r="N8" i="25"/>
  <c r="N6" i="25"/>
  <c r="N7" i="25"/>
  <c r="N9" i="25"/>
  <c r="N11" i="25"/>
  <c r="N10" i="25"/>
  <c r="N12" i="25"/>
  <c r="N15" i="25"/>
  <c r="N13" i="25"/>
  <c r="N14" i="25"/>
  <c r="N18" i="25"/>
  <c r="N19" i="25"/>
  <c r="N16" i="25"/>
  <c r="N17" i="25"/>
  <c r="N20" i="25"/>
  <c r="N21" i="25"/>
  <c r="N22" i="25"/>
  <c r="N27" i="25"/>
  <c r="N28" i="25"/>
  <c r="N29" i="25"/>
  <c r="N23" i="25"/>
  <c r="N24" i="25"/>
  <c r="N25" i="25"/>
  <c r="N26" i="25"/>
  <c r="N31" i="25"/>
  <c r="N32" i="25"/>
  <c r="N33" i="25"/>
  <c r="N34" i="25"/>
  <c r="N30" i="25"/>
  <c r="M8" i="25"/>
  <c r="M6" i="25"/>
  <c r="M7" i="25"/>
  <c r="M9" i="25"/>
  <c r="M11" i="25"/>
  <c r="M10" i="25"/>
  <c r="M12" i="25"/>
  <c r="M15" i="25"/>
  <c r="M13" i="25"/>
  <c r="M14" i="25"/>
  <c r="M18" i="25"/>
  <c r="M19" i="25"/>
  <c r="M16" i="25"/>
  <c r="M17" i="25"/>
  <c r="M21" i="25"/>
  <c r="M22" i="25"/>
  <c r="M27" i="25"/>
  <c r="M29" i="25"/>
  <c r="M23" i="25"/>
  <c r="M24" i="25"/>
  <c r="M25" i="25"/>
  <c r="M26" i="25"/>
  <c r="M31" i="25"/>
  <c r="M32" i="25"/>
  <c r="M33" i="25"/>
  <c r="M34" i="25"/>
  <c r="L8" i="25"/>
  <c r="L6" i="25"/>
  <c r="L7" i="25"/>
  <c r="L9" i="25"/>
  <c r="L11" i="25"/>
  <c r="L10" i="25"/>
  <c r="L12" i="25"/>
  <c r="L15" i="25"/>
  <c r="L13" i="25"/>
  <c r="L14" i="25"/>
  <c r="L18" i="25"/>
  <c r="L19" i="25"/>
  <c r="L16" i="25"/>
  <c r="L17" i="25"/>
  <c r="L21" i="25"/>
  <c r="L22" i="25"/>
  <c r="L27" i="25"/>
  <c r="L28" i="25"/>
  <c r="L29" i="25"/>
  <c r="L23" i="25"/>
  <c r="L24" i="25"/>
  <c r="L25" i="25"/>
  <c r="L26" i="25"/>
  <c r="L31" i="25"/>
  <c r="L32" i="25"/>
  <c r="L33" i="25"/>
  <c r="L34" i="25"/>
  <c r="L30" i="25"/>
  <c r="K8" i="25"/>
  <c r="K6" i="25"/>
  <c r="K7" i="25"/>
  <c r="K9" i="25"/>
  <c r="K11" i="25"/>
  <c r="K10" i="25"/>
  <c r="K12" i="25"/>
  <c r="K15" i="25"/>
  <c r="K13" i="25"/>
  <c r="K14" i="25"/>
  <c r="K18" i="25"/>
  <c r="K19" i="25"/>
  <c r="K16" i="25"/>
  <c r="K17" i="25"/>
  <c r="K20" i="25"/>
  <c r="K21" i="25"/>
  <c r="K22" i="25"/>
  <c r="K27" i="25"/>
  <c r="K28" i="25"/>
  <c r="K29" i="25"/>
  <c r="K23" i="25"/>
  <c r="K24" i="25"/>
  <c r="K25" i="25"/>
  <c r="K26" i="25"/>
  <c r="K31" i="25"/>
  <c r="K32" i="25"/>
  <c r="K33" i="25"/>
  <c r="K34" i="25"/>
  <c r="K30" i="25"/>
  <c r="J8" i="25"/>
  <c r="J6" i="25"/>
  <c r="J7" i="25"/>
  <c r="J9" i="25"/>
  <c r="J11" i="25"/>
  <c r="J10" i="25"/>
  <c r="J12" i="25"/>
  <c r="J15" i="25"/>
  <c r="J13" i="25"/>
  <c r="J14" i="25"/>
  <c r="J18" i="25"/>
  <c r="J19" i="25"/>
  <c r="J16" i="25"/>
  <c r="J17" i="25"/>
  <c r="J20" i="25"/>
  <c r="J21" i="25"/>
  <c r="J22" i="25"/>
  <c r="J27" i="25"/>
  <c r="J28" i="25"/>
  <c r="J29" i="25"/>
  <c r="J23" i="25"/>
  <c r="J24" i="25"/>
  <c r="J25" i="25"/>
  <c r="J26" i="25"/>
  <c r="J31" i="25"/>
  <c r="J32" i="25"/>
  <c r="J33" i="25"/>
  <c r="J34" i="25"/>
  <c r="J30" i="25"/>
  <c r="I8" i="25"/>
  <c r="I6" i="25"/>
  <c r="I7" i="25"/>
  <c r="I9" i="25"/>
  <c r="I11" i="25"/>
  <c r="I10" i="25"/>
  <c r="I12" i="25"/>
  <c r="I15" i="25"/>
  <c r="I13" i="25"/>
  <c r="I14" i="25"/>
  <c r="I18" i="25"/>
  <c r="I19" i="25"/>
  <c r="I16" i="25"/>
  <c r="I17" i="25"/>
  <c r="I20" i="25"/>
  <c r="I21" i="25"/>
  <c r="I22" i="25"/>
  <c r="I27" i="25"/>
  <c r="I28" i="25"/>
  <c r="I29" i="25"/>
  <c r="I23" i="25"/>
  <c r="I24" i="25"/>
  <c r="I25" i="25"/>
  <c r="I26" i="25"/>
  <c r="I31" i="25"/>
  <c r="I32" i="25"/>
  <c r="I33" i="25"/>
  <c r="I34" i="25"/>
  <c r="I30" i="25"/>
  <c r="H8" i="25"/>
  <c r="H6" i="25"/>
  <c r="H7" i="25"/>
  <c r="H9" i="25"/>
  <c r="H11" i="25"/>
  <c r="H10" i="25"/>
  <c r="H12" i="25"/>
  <c r="H15" i="25"/>
  <c r="H13" i="25"/>
  <c r="H14" i="25"/>
  <c r="H18" i="25"/>
  <c r="H19" i="25"/>
  <c r="H16" i="25"/>
  <c r="H17" i="25"/>
  <c r="H20" i="25"/>
  <c r="H21" i="25"/>
  <c r="H22" i="25"/>
  <c r="H27" i="25"/>
  <c r="H28" i="25"/>
  <c r="H29" i="25"/>
  <c r="H23" i="25"/>
  <c r="H24" i="25"/>
  <c r="H25" i="25"/>
  <c r="H26" i="25"/>
  <c r="H31" i="25"/>
  <c r="H32" i="25"/>
  <c r="H33" i="25"/>
  <c r="H34" i="25"/>
  <c r="H30" i="25"/>
  <c r="G8" i="25"/>
  <c r="G6" i="25"/>
  <c r="G7" i="25"/>
  <c r="G9" i="25"/>
  <c r="G11" i="25"/>
  <c r="G10" i="25"/>
  <c r="G12" i="25"/>
  <c r="G15" i="25"/>
  <c r="G13" i="25"/>
  <c r="G14" i="25"/>
  <c r="G18" i="25"/>
  <c r="G19" i="25"/>
  <c r="G16" i="25"/>
  <c r="G17" i="25"/>
  <c r="G20" i="25"/>
  <c r="G21" i="25"/>
  <c r="G22" i="25"/>
  <c r="G27" i="25"/>
  <c r="G28" i="25"/>
  <c r="G29" i="25"/>
  <c r="G23" i="25"/>
  <c r="G24" i="25"/>
  <c r="G25" i="25"/>
  <c r="G26" i="25"/>
  <c r="G31" i="25"/>
  <c r="G32" i="25"/>
  <c r="G33" i="25"/>
  <c r="G34" i="25"/>
  <c r="G30" i="25"/>
  <c r="F8" i="25"/>
  <c r="F6" i="25"/>
  <c r="F7" i="25"/>
  <c r="F9" i="25"/>
  <c r="F11" i="25"/>
  <c r="F10" i="25"/>
  <c r="F12" i="25"/>
  <c r="F15" i="25"/>
  <c r="F13" i="25"/>
  <c r="F14" i="25"/>
  <c r="F18" i="25"/>
  <c r="F19" i="25"/>
  <c r="F16" i="25"/>
  <c r="F17" i="25"/>
  <c r="F20" i="25"/>
  <c r="F21" i="25"/>
  <c r="F22" i="25"/>
  <c r="F27" i="25"/>
  <c r="F28" i="25"/>
  <c r="F29" i="25"/>
  <c r="F23" i="25"/>
  <c r="F24" i="25"/>
  <c r="F25" i="25"/>
  <c r="F26" i="25"/>
  <c r="F31" i="25"/>
  <c r="F32" i="25"/>
  <c r="F33" i="25"/>
  <c r="F34" i="25"/>
  <c r="F30" i="25"/>
  <c r="E8" i="25"/>
  <c r="E6" i="25"/>
  <c r="E7" i="25"/>
  <c r="E9" i="25"/>
  <c r="E11" i="25"/>
  <c r="E10" i="25"/>
  <c r="E12" i="25"/>
  <c r="E15" i="25"/>
  <c r="E13" i="25"/>
  <c r="E14" i="25"/>
  <c r="E18" i="25"/>
  <c r="E19" i="25"/>
  <c r="E16" i="25"/>
  <c r="E17" i="25"/>
  <c r="E20" i="25"/>
  <c r="E21" i="25"/>
  <c r="E22" i="25"/>
  <c r="E27" i="25"/>
  <c r="E28" i="25"/>
  <c r="E29" i="25"/>
  <c r="E23" i="25"/>
  <c r="E24" i="25"/>
  <c r="E25" i="25"/>
  <c r="E26" i="25"/>
  <c r="E31" i="25"/>
  <c r="E32" i="25"/>
  <c r="E33" i="25"/>
  <c r="E34" i="25"/>
  <c r="E30" i="25"/>
  <c r="D8" i="25"/>
  <c r="D6" i="25"/>
  <c r="D7" i="25"/>
  <c r="D9" i="25"/>
  <c r="D11" i="25"/>
  <c r="D10" i="25"/>
  <c r="D12" i="25"/>
  <c r="D15" i="25"/>
  <c r="D13" i="25"/>
  <c r="D14" i="25"/>
  <c r="D18" i="25"/>
  <c r="D19" i="25"/>
  <c r="D16" i="25"/>
  <c r="D17" i="25"/>
  <c r="D20" i="25"/>
  <c r="D21" i="25"/>
  <c r="D22" i="25"/>
  <c r="D27" i="25"/>
  <c r="D28" i="25"/>
  <c r="D29" i="25"/>
  <c r="D23" i="25"/>
  <c r="D24" i="25"/>
  <c r="D25" i="25"/>
  <c r="D26" i="25"/>
  <c r="D31" i="25"/>
  <c r="D32" i="25"/>
  <c r="D33" i="25"/>
  <c r="D34" i="25"/>
  <c r="D30" i="25"/>
  <c r="C6" i="25"/>
  <c r="C7" i="25"/>
  <c r="C9" i="25"/>
  <c r="C11" i="25"/>
  <c r="C10" i="25"/>
  <c r="C12" i="25"/>
  <c r="C15" i="25"/>
  <c r="C13" i="25"/>
  <c r="C14" i="25"/>
  <c r="C18" i="25"/>
  <c r="C19" i="25"/>
  <c r="C16" i="25"/>
  <c r="C17" i="25"/>
  <c r="C20" i="25"/>
  <c r="C21" i="25"/>
  <c r="C22" i="25"/>
  <c r="C27" i="25"/>
  <c r="C28" i="25"/>
  <c r="C29" i="25"/>
  <c r="C23" i="25"/>
  <c r="C24" i="25"/>
  <c r="C25" i="25"/>
  <c r="C26" i="25"/>
  <c r="C31" i="25"/>
  <c r="C32" i="25"/>
  <c r="C33" i="25"/>
  <c r="C34" i="25"/>
  <c r="C30" i="25"/>
  <c r="C6" i="24"/>
  <c r="N6" i="24"/>
  <c r="N7" i="24"/>
  <c r="N8" i="24"/>
  <c r="N9" i="24"/>
  <c r="N11" i="24"/>
  <c r="N13" i="24"/>
  <c r="N10" i="24"/>
  <c r="N12" i="24"/>
  <c r="N14" i="24"/>
  <c r="N15" i="24"/>
  <c r="N17" i="24"/>
  <c r="N22" i="24"/>
  <c r="N19" i="24"/>
  <c r="N21" i="24"/>
  <c r="N18" i="24"/>
  <c r="N20" i="24"/>
  <c r="N23" i="24"/>
  <c r="M6" i="24"/>
  <c r="M7" i="24"/>
  <c r="M8" i="24"/>
  <c r="M9" i="24"/>
  <c r="M11" i="24"/>
  <c r="M13" i="24"/>
  <c r="M10" i="24"/>
  <c r="M12" i="24"/>
  <c r="M14" i="24"/>
  <c r="M15" i="24"/>
  <c r="M17" i="24"/>
  <c r="M22" i="24"/>
  <c r="M19" i="24"/>
  <c r="M21" i="24"/>
  <c r="M18" i="24"/>
  <c r="M20" i="24"/>
  <c r="M23" i="24"/>
  <c r="L6" i="24"/>
  <c r="L7" i="24"/>
  <c r="L8" i="24"/>
  <c r="L9" i="24"/>
  <c r="L11" i="24"/>
  <c r="L13" i="24"/>
  <c r="L10" i="24"/>
  <c r="L12" i="24"/>
  <c r="L14" i="24"/>
  <c r="L15" i="24"/>
  <c r="L17" i="24"/>
  <c r="L22" i="24"/>
  <c r="L19" i="24"/>
  <c r="L21" i="24"/>
  <c r="L18" i="24"/>
  <c r="L20" i="24"/>
  <c r="L23" i="24"/>
  <c r="K6" i="24"/>
  <c r="K7" i="24"/>
  <c r="K11" i="24"/>
  <c r="K10" i="24"/>
  <c r="K12" i="24"/>
  <c r="K14" i="24"/>
  <c r="K15" i="24"/>
  <c r="K17" i="24"/>
  <c r="K22" i="24"/>
  <c r="K19" i="24"/>
  <c r="K21" i="24"/>
  <c r="K18" i="24"/>
  <c r="K20" i="24"/>
  <c r="K23" i="24"/>
  <c r="J6" i="24"/>
  <c r="J7" i="24"/>
  <c r="J8" i="24"/>
  <c r="J9" i="24"/>
  <c r="J11" i="24"/>
  <c r="J13" i="24"/>
  <c r="J10" i="24"/>
  <c r="J12" i="24"/>
  <c r="J14" i="24"/>
  <c r="J15" i="24"/>
  <c r="J16" i="24"/>
  <c r="J17" i="24"/>
  <c r="J22" i="24"/>
  <c r="J19" i="24"/>
  <c r="J21" i="24"/>
  <c r="J18" i="24"/>
  <c r="J20" i="24"/>
  <c r="J23" i="24"/>
  <c r="I6" i="24"/>
  <c r="I7" i="24"/>
  <c r="I8" i="24"/>
  <c r="I9" i="24"/>
  <c r="I11" i="24"/>
  <c r="I13" i="24"/>
  <c r="I10" i="24"/>
  <c r="I12" i="24"/>
  <c r="I14" i="24"/>
  <c r="I15" i="24"/>
  <c r="I16" i="24"/>
  <c r="I17" i="24"/>
  <c r="I22" i="24"/>
  <c r="I19" i="24"/>
  <c r="I21" i="24"/>
  <c r="I18" i="24"/>
  <c r="I20" i="24"/>
  <c r="I23" i="24"/>
  <c r="H6" i="24"/>
  <c r="H7" i="24"/>
  <c r="H8" i="24"/>
  <c r="H9" i="24"/>
  <c r="H11" i="24"/>
  <c r="H13" i="24"/>
  <c r="H10" i="24"/>
  <c r="H12" i="24"/>
  <c r="H14" i="24"/>
  <c r="H15" i="24"/>
  <c r="H16" i="24"/>
  <c r="H17" i="24"/>
  <c r="H22" i="24"/>
  <c r="H19" i="24"/>
  <c r="H21" i="24"/>
  <c r="H18" i="24"/>
  <c r="H20" i="24"/>
  <c r="H23" i="24"/>
  <c r="G6" i="24"/>
  <c r="G7" i="24"/>
  <c r="G8" i="24"/>
  <c r="G9" i="24"/>
  <c r="G11" i="24"/>
  <c r="G13" i="24"/>
  <c r="G10" i="24"/>
  <c r="G12" i="24"/>
  <c r="G14" i="24"/>
  <c r="G15" i="24"/>
  <c r="G16" i="24"/>
  <c r="G17" i="24"/>
  <c r="G22" i="24"/>
  <c r="G19" i="24"/>
  <c r="G21" i="24"/>
  <c r="G18" i="24"/>
  <c r="G20" i="24"/>
  <c r="G23" i="24"/>
  <c r="F6" i="24"/>
  <c r="F7" i="24"/>
  <c r="F8" i="24"/>
  <c r="F9" i="24"/>
  <c r="F11" i="24"/>
  <c r="F13" i="24"/>
  <c r="F10" i="24"/>
  <c r="F12" i="24"/>
  <c r="F14" i="24"/>
  <c r="F15" i="24"/>
  <c r="F16" i="24"/>
  <c r="F17" i="24"/>
  <c r="F22" i="24"/>
  <c r="F19" i="24"/>
  <c r="F21" i="24"/>
  <c r="F18" i="24"/>
  <c r="F20" i="24"/>
  <c r="F23" i="24"/>
  <c r="E6" i="24"/>
  <c r="E7" i="24"/>
  <c r="E8" i="24"/>
  <c r="E9" i="24"/>
  <c r="E11" i="24"/>
  <c r="E13" i="24"/>
  <c r="E10" i="24"/>
  <c r="E12" i="24"/>
  <c r="E14" i="24"/>
  <c r="E15" i="24"/>
  <c r="E16" i="24"/>
  <c r="E17" i="24"/>
  <c r="E22" i="24"/>
  <c r="E19" i="24"/>
  <c r="E21" i="24"/>
  <c r="E18" i="24"/>
  <c r="E20" i="24"/>
  <c r="E23" i="24"/>
  <c r="D6" i="24"/>
  <c r="D7" i="24"/>
  <c r="D8" i="24"/>
  <c r="D9" i="24"/>
  <c r="D11" i="24"/>
  <c r="D13" i="24"/>
  <c r="D10" i="24"/>
  <c r="D12" i="24"/>
  <c r="D14" i="24"/>
  <c r="D15" i="24"/>
  <c r="D16" i="24"/>
  <c r="D17" i="24"/>
  <c r="D22" i="24"/>
  <c r="D19" i="24"/>
  <c r="D21" i="24"/>
  <c r="D18" i="24"/>
  <c r="D20" i="24"/>
  <c r="D23" i="24"/>
  <c r="C7" i="24"/>
  <c r="C8" i="24"/>
  <c r="C9" i="24"/>
  <c r="C11" i="24"/>
  <c r="C13" i="24"/>
  <c r="C10" i="24"/>
  <c r="C12" i="24"/>
  <c r="C14" i="24"/>
  <c r="C15" i="24"/>
  <c r="C16" i="24"/>
  <c r="C17" i="24"/>
  <c r="C22" i="24"/>
  <c r="C19" i="24"/>
  <c r="C21" i="24"/>
  <c r="C18" i="24"/>
  <c r="C20" i="24"/>
  <c r="C23" i="24"/>
  <c r="C6" i="23"/>
  <c r="N6" i="23"/>
  <c r="N7" i="23"/>
  <c r="N8" i="23"/>
  <c r="N9" i="23"/>
  <c r="N10" i="23"/>
  <c r="N17" i="23"/>
  <c r="N11" i="23"/>
  <c r="N16" i="23"/>
  <c r="N13" i="23"/>
  <c r="N12" i="23"/>
  <c r="N15" i="23"/>
  <c r="N14" i="23"/>
  <c r="N24" i="23"/>
  <c r="N19" i="23"/>
  <c r="N21" i="23"/>
  <c r="N18" i="23"/>
  <c r="N22" i="23"/>
  <c r="N20" i="23"/>
  <c r="N25" i="23"/>
  <c r="N27" i="23"/>
  <c r="N26" i="23"/>
  <c r="N28" i="23"/>
  <c r="N29" i="23"/>
  <c r="N30" i="23"/>
  <c r="N6" i="20"/>
  <c r="M6" i="23"/>
  <c r="M7" i="23"/>
  <c r="M8" i="23"/>
  <c r="M9" i="23"/>
  <c r="M10" i="23"/>
  <c r="M17" i="23"/>
  <c r="M11" i="23"/>
  <c r="M16" i="23"/>
  <c r="M13" i="23"/>
  <c r="M12" i="23"/>
  <c r="M14" i="23"/>
  <c r="M24" i="23"/>
  <c r="M19" i="23"/>
  <c r="M21" i="23"/>
  <c r="M18" i="23"/>
  <c r="M22" i="23"/>
  <c r="M20" i="23"/>
  <c r="M25" i="23"/>
  <c r="M27" i="23"/>
  <c r="M26" i="23"/>
  <c r="M28" i="23"/>
  <c r="M29" i="23"/>
  <c r="M30" i="23"/>
  <c r="M6" i="20"/>
  <c r="L6" i="23"/>
  <c r="L7" i="23"/>
  <c r="L8" i="23"/>
  <c r="L9" i="23"/>
  <c r="L10" i="23"/>
  <c r="L17" i="23"/>
  <c r="L11" i="23"/>
  <c r="L16" i="23"/>
  <c r="L13" i="23"/>
  <c r="L12" i="23"/>
  <c r="L15" i="23"/>
  <c r="L24" i="23"/>
  <c r="L19" i="23"/>
  <c r="L21" i="23"/>
  <c r="L18" i="23"/>
  <c r="L22" i="23"/>
  <c r="L20" i="23"/>
  <c r="L25" i="23"/>
  <c r="L27" i="23"/>
  <c r="L26" i="23"/>
  <c r="L28" i="23"/>
  <c r="L29" i="23"/>
  <c r="L30" i="23"/>
  <c r="L6" i="20"/>
  <c r="K6" i="23"/>
  <c r="K7" i="23"/>
  <c r="K8" i="23"/>
  <c r="K9" i="23"/>
  <c r="K10" i="23"/>
  <c r="K17" i="23"/>
  <c r="K11" i="23"/>
  <c r="K16" i="23"/>
  <c r="K13" i="23"/>
  <c r="K12" i="23"/>
  <c r="K15" i="23"/>
  <c r="K14" i="23"/>
  <c r="K24" i="23"/>
  <c r="K19" i="23"/>
  <c r="K21" i="23"/>
  <c r="K18" i="23"/>
  <c r="K22" i="23"/>
  <c r="K20" i="23"/>
  <c r="K25" i="23"/>
  <c r="K27" i="23"/>
  <c r="K26" i="23"/>
  <c r="K28" i="23"/>
  <c r="K29" i="23"/>
  <c r="K30" i="23"/>
  <c r="K6" i="20"/>
  <c r="J6" i="23"/>
  <c r="J7" i="23"/>
  <c r="J8" i="23"/>
  <c r="J9" i="23"/>
  <c r="J10" i="23"/>
  <c r="J17" i="23"/>
  <c r="J11" i="23"/>
  <c r="J16" i="23"/>
  <c r="J13" i="23"/>
  <c r="J12" i="23"/>
  <c r="J15" i="23"/>
  <c r="J14" i="23"/>
  <c r="J24" i="23"/>
  <c r="J19" i="23"/>
  <c r="J21" i="23"/>
  <c r="J18" i="23"/>
  <c r="J22" i="23"/>
  <c r="J20" i="23"/>
  <c r="J25" i="23"/>
  <c r="J27" i="23"/>
  <c r="J26" i="23"/>
  <c r="J28" i="23"/>
  <c r="J29" i="23"/>
  <c r="J30" i="23"/>
  <c r="J6" i="20"/>
  <c r="I6" i="23"/>
  <c r="I7" i="23"/>
  <c r="I8" i="23"/>
  <c r="I9" i="23"/>
  <c r="I10" i="23"/>
  <c r="I17" i="23"/>
  <c r="I11" i="23"/>
  <c r="I16" i="23"/>
  <c r="I13" i="23"/>
  <c r="I12" i="23"/>
  <c r="I15" i="23"/>
  <c r="I14" i="23"/>
  <c r="I24" i="23"/>
  <c r="I19" i="23"/>
  <c r="I21" i="23"/>
  <c r="I18" i="23"/>
  <c r="I22" i="23"/>
  <c r="I20" i="23"/>
  <c r="I25" i="23"/>
  <c r="I27" i="23"/>
  <c r="I26" i="23"/>
  <c r="I28" i="23"/>
  <c r="I29" i="23"/>
  <c r="I30" i="23"/>
  <c r="I6" i="20"/>
  <c r="H6" i="23"/>
  <c r="H7" i="23"/>
  <c r="H8" i="23"/>
  <c r="H9" i="23"/>
  <c r="H10" i="23"/>
  <c r="H17" i="23"/>
  <c r="H11" i="23"/>
  <c r="H16" i="23"/>
  <c r="H13" i="23"/>
  <c r="H12" i="23"/>
  <c r="H15" i="23"/>
  <c r="H14" i="23"/>
  <c r="H24" i="23"/>
  <c r="H19" i="23"/>
  <c r="H21" i="23"/>
  <c r="H18" i="23"/>
  <c r="H22" i="23"/>
  <c r="H20" i="23"/>
  <c r="H25" i="23"/>
  <c r="H27" i="23"/>
  <c r="H26" i="23"/>
  <c r="H28" i="23"/>
  <c r="H29" i="23"/>
  <c r="H30" i="23"/>
  <c r="H6" i="20"/>
  <c r="G6" i="23"/>
  <c r="G7" i="23"/>
  <c r="G8" i="23"/>
  <c r="G9" i="23"/>
  <c r="G10" i="23"/>
  <c r="G17" i="23"/>
  <c r="G11" i="23"/>
  <c r="G16" i="23"/>
  <c r="G13" i="23"/>
  <c r="G12" i="23"/>
  <c r="G15" i="23"/>
  <c r="G14" i="23"/>
  <c r="G24" i="23"/>
  <c r="G19" i="23"/>
  <c r="G21" i="23"/>
  <c r="G18" i="23"/>
  <c r="G22" i="23"/>
  <c r="G20" i="23"/>
  <c r="G25" i="23"/>
  <c r="G27" i="23"/>
  <c r="G26" i="23"/>
  <c r="G28" i="23"/>
  <c r="G29" i="23"/>
  <c r="G30" i="23"/>
  <c r="G6" i="20"/>
  <c r="F6" i="23"/>
  <c r="F7" i="23"/>
  <c r="F8" i="23"/>
  <c r="F9" i="23"/>
  <c r="F10" i="23"/>
  <c r="F17" i="23"/>
  <c r="F11" i="23"/>
  <c r="F16" i="23"/>
  <c r="F13" i="23"/>
  <c r="F12" i="23"/>
  <c r="F15" i="23"/>
  <c r="F14" i="23"/>
  <c r="F24" i="23"/>
  <c r="F19" i="23"/>
  <c r="F21" i="23"/>
  <c r="F18" i="23"/>
  <c r="F22" i="23"/>
  <c r="F20" i="23"/>
  <c r="F25" i="23"/>
  <c r="F27" i="23"/>
  <c r="F26" i="23"/>
  <c r="F28" i="23"/>
  <c r="F29" i="23"/>
  <c r="F30" i="23"/>
  <c r="F6" i="20"/>
  <c r="E6" i="23"/>
  <c r="E7" i="23"/>
  <c r="E8" i="23"/>
  <c r="E9" i="23"/>
  <c r="E10" i="23"/>
  <c r="E17" i="23"/>
  <c r="E11" i="23"/>
  <c r="E16" i="23"/>
  <c r="E13" i="23"/>
  <c r="E12" i="23"/>
  <c r="E15" i="23"/>
  <c r="E14" i="23"/>
  <c r="E24" i="23"/>
  <c r="E19" i="23"/>
  <c r="E21" i="23"/>
  <c r="E18" i="23"/>
  <c r="E22" i="23"/>
  <c r="E20" i="23"/>
  <c r="E25" i="23"/>
  <c r="E27" i="23"/>
  <c r="E26" i="23"/>
  <c r="E28" i="23"/>
  <c r="E29" i="23"/>
  <c r="E30" i="23"/>
  <c r="E6" i="20"/>
  <c r="D6" i="23"/>
  <c r="D7" i="23"/>
  <c r="D8" i="23"/>
  <c r="D9" i="23"/>
  <c r="D10" i="23"/>
  <c r="D17" i="23"/>
  <c r="D11" i="23"/>
  <c r="D16" i="23"/>
  <c r="D13" i="23"/>
  <c r="D12" i="23"/>
  <c r="D15" i="23"/>
  <c r="D14" i="23"/>
  <c r="D24" i="23"/>
  <c r="D19" i="23"/>
  <c r="D21" i="23"/>
  <c r="D18" i="23"/>
  <c r="D22" i="23"/>
  <c r="D20" i="23"/>
  <c r="D25" i="23"/>
  <c r="D27" i="23"/>
  <c r="D26" i="23"/>
  <c r="D28" i="23"/>
  <c r="D29" i="23"/>
  <c r="D30" i="23"/>
  <c r="D6" i="20"/>
  <c r="C7" i="23"/>
  <c r="C8" i="23"/>
  <c r="C9" i="23"/>
  <c r="C10" i="23"/>
  <c r="C17" i="23"/>
  <c r="C11" i="23"/>
  <c r="C16" i="23"/>
  <c r="C13" i="23"/>
  <c r="C12" i="23"/>
  <c r="C15" i="23"/>
  <c r="C14" i="23"/>
  <c r="C24" i="23"/>
  <c r="C19" i="23"/>
  <c r="C21" i="23"/>
  <c r="C18" i="23"/>
  <c r="C22" i="23"/>
  <c r="C20" i="23"/>
  <c r="C25" i="23"/>
  <c r="C27" i="23"/>
  <c r="C26" i="23"/>
  <c r="C28" i="23"/>
  <c r="C29" i="23"/>
  <c r="C30" i="23"/>
  <c r="N7" i="20"/>
  <c r="N8" i="20"/>
  <c r="N9" i="20"/>
  <c r="N16" i="20"/>
  <c r="N10" i="20"/>
  <c r="N14" i="20"/>
  <c r="N11" i="20"/>
  <c r="N12" i="20"/>
  <c r="N17" i="20"/>
  <c r="N18" i="20"/>
  <c r="N19" i="20"/>
  <c r="N15" i="20"/>
  <c r="N20" i="20"/>
  <c r="N22" i="20"/>
  <c r="N24" i="20"/>
  <c r="N23" i="20"/>
  <c r="N25" i="20"/>
  <c r="N26" i="20"/>
  <c r="N27" i="20"/>
  <c r="N28" i="20"/>
  <c r="N29" i="20"/>
  <c r="N30" i="20"/>
  <c r="N32" i="20"/>
  <c r="N35" i="20"/>
  <c r="N34" i="20"/>
  <c r="N36" i="20"/>
  <c r="N37" i="20"/>
  <c r="N38" i="20"/>
  <c r="N39" i="20"/>
  <c r="N41" i="20"/>
  <c r="N40" i="20"/>
  <c r="N42" i="20"/>
  <c r="N43" i="20"/>
  <c r="M7" i="20"/>
  <c r="M8" i="20"/>
  <c r="M9" i="20"/>
  <c r="M16" i="20"/>
  <c r="M10" i="20"/>
  <c r="M14" i="20"/>
  <c r="M11" i="20"/>
  <c r="M12" i="20"/>
  <c r="M17" i="20"/>
  <c r="M18" i="20"/>
  <c r="M19" i="20"/>
  <c r="M15" i="20"/>
  <c r="M20" i="20"/>
  <c r="M21" i="20"/>
  <c r="M22" i="20"/>
  <c r="M24" i="20"/>
  <c r="M23" i="20"/>
  <c r="M25" i="20"/>
  <c r="M26" i="20"/>
  <c r="M27" i="20"/>
  <c r="M28" i="20"/>
  <c r="M29" i="20"/>
  <c r="M30" i="20"/>
  <c r="M32" i="20"/>
  <c r="M35" i="20"/>
  <c r="M34" i="20"/>
  <c r="M36" i="20"/>
  <c r="M37" i="20"/>
  <c r="M38" i="20"/>
  <c r="M39" i="20"/>
  <c r="M41" i="20"/>
  <c r="M40" i="20"/>
  <c r="M42" i="20"/>
  <c r="M43" i="20"/>
  <c r="L7" i="20"/>
  <c r="L8" i="20"/>
  <c r="L9" i="20"/>
  <c r="L16" i="20"/>
  <c r="L14" i="20"/>
  <c r="L11" i="20"/>
  <c r="L12" i="20"/>
  <c r="L17" i="20"/>
  <c r="L18" i="20"/>
  <c r="L19" i="20"/>
  <c r="L15" i="20"/>
  <c r="L20" i="20"/>
  <c r="L21" i="20"/>
  <c r="L22" i="20"/>
  <c r="L24" i="20"/>
  <c r="L23" i="20"/>
  <c r="L25" i="20"/>
  <c r="L26" i="20"/>
  <c r="L27" i="20"/>
  <c r="L28" i="20"/>
  <c r="L29" i="20"/>
  <c r="L30" i="20"/>
  <c r="L32" i="20"/>
  <c r="L35" i="20"/>
  <c r="L34" i="20"/>
  <c r="L36" i="20"/>
  <c r="L37" i="20"/>
  <c r="L38" i="20"/>
  <c r="L39" i="20"/>
  <c r="L41" i="20"/>
  <c r="L40" i="20"/>
  <c r="L42" i="20"/>
  <c r="L43" i="20"/>
  <c r="K7" i="20"/>
  <c r="K8" i="20"/>
  <c r="K9" i="20"/>
  <c r="K16" i="20"/>
  <c r="K14" i="20"/>
  <c r="K11" i="20"/>
  <c r="K12" i="20"/>
  <c r="K17" i="20"/>
  <c r="K18" i="20"/>
  <c r="K19" i="20"/>
  <c r="K15" i="20"/>
  <c r="K20" i="20"/>
  <c r="K21" i="20"/>
  <c r="K22" i="20"/>
  <c r="K24" i="20"/>
  <c r="K23" i="20"/>
  <c r="K25" i="20"/>
  <c r="K26" i="20"/>
  <c r="K27" i="20"/>
  <c r="K28" i="20"/>
  <c r="K29" i="20"/>
  <c r="K30" i="20"/>
  <c r="K32" i="20"/>
  <c r="K35" i="20"/>
  <c r="K34" i="20"/>
  <c r="K36" i="20"/>
  <c r="K37" i="20"/>
  <c r="K38" i="20"/>
  <c r="K39" i="20"/>
  <c r="K41" i="20"/>
  <c r="K40" i="20"/>
  <c r="K42" i="20"/>
  <c r="K43" i="20"/>
  <c r="J7" i="20"/>
  <c r="J8" i="20"/>
  <c r="J9" i="20"/>
  <c r="J16" i="20"/>
  <c r="J14" i="20"/>
  <c r="J11" i="20"/>
  <c r="J12" i="20"/>
  <c r="J17" i="20"/>
  <c r="J18" i="20"/>
  <c r="J19" i="20"/>
  <c r="J15" i="20"/>
  <c r="J20" i="20"/>
  <c r="J21" i="20"/>
  <c r="J22" i="20"/>
  <c r="J24" i="20"/>
  <c r="J23" i="20"/>
  <c r="J25" i="20"/>
  <c r="J26" i="20"/>
  <c r="J27" i="20"/>
  <c r="J28" i="20"/>
  <c r="J29" i="20"/>
  <c r="J30" i="20"/>
  <c r="J32" i="20"/>
  <c r="J35" i="20"/>
  <c r="J34" i="20"/>
  <c r="J36" i="20"/>
  <c r="J37" i="20"/>
  <c r="J38" i="20"/>
  <c r="J39" i="20"/>
  <c r="J41" i="20"/>
  <c r="J40" i="20"/>
  <c r="J42" i="20"/>
  <c r="J43" i="20"/>
  <c r="I7" i="20"/>
  <c r="I8" i="20"/>
  <c r="I9" i="20"/>
  <c r="I16" i="20"/>
  <c r="I10" i="20"/>
  <c r="I14" i="20"/>
  <c r="I11" i="20"/>
  <c r="I12" i="20"/>
  <c r="I17" i="20"/>
  <c r="I18" i="20"/>
  <c r="I19" i="20"/>
  <c r="I15" i="20"/>
  <c r="I20" i="20"/>
  <c r="I21" i="20"/>
  <c r="I22" i="20"/>
  <c r="I24" i="20"/>
  <c r="I23" i="20"/>
  <c r="I25" i="20"/>
  <c r="I26" i="20"/>
  <c r="I27" i="20"/>
  <c r="I28" i="20"/>
  <c r="I29" i="20"/>
  <c r="I30" i="20"/>
  <c r="I32" i="20"/>
  <c r="I35" i="20"/>
  <c r="I34" i="20"/>
  <c r="I36" i="20"/>
  <c r="I37" i="20"/>
  <c r="I38" i="20"/>
  <c r="I39" i="20"/>
  <c r="I41" i="20"/>
  <c r="I40" i="20"/>
  <c r="I42" i="20"/>
  <c r="I43" i="20"/>
  <c r="H7" i="20"/>
  <c r="H8" i="20"/>
  <c r="H9" i="20"/>
  <c r="H16" i="20"/>
  <c r="H10" i="20"/>
  <c r="H14" i="20"/>
  <c r="H11" i="20"/>
  <c r="H12" i="20"/>
  <c r="H17" i="20"/>
  <c r="H18" i="20"/>
  <c r="H19" i="20"/>
  <c r="H15" i="20"/>
  <c r="H20" i="20"/>
  <c r="H21" i="20"/>
  <c r="H22" i="20"/>
  <c r="H24" i="20"/>
  <c r="H23" i="20"/>
  <c r="H25" i="20"/>
  <c r="H26" i="20"/>
  <c r="H27" i="20"/>
  <c r="H28" i="20"/>
  <c r="H29" i="20"/>
  <c r="H30" i="20"/>
  <c r="H32" i="20"/>
  <c r="H35" i="20"/>
  <c r="H34" i="20"/>
  <c r="H36" i="20"/>
  <c r="H37" i="20"/>
  <c r="H38" i="20"/>
  <c r="H39" i="20"/>
  <c r="H41" i="20"/>
  <c r="H40" i="20"/>
  <c r="H42" i="20"/>
  <c r="H43" i="20"/>
  <c r="G7" i="20"/>
  <c r="G8" i="20"/>
  <c r="G9" i="20"/>
  <c r="G16" i="20"/>
  <c r="G10" i="20"/>
  <c r="G14" i="20"/>
  <c r="G11" i="20"/>
  <c r="G12" i="20"/>
  <c r="G17" i="20"/>
  <c r="G18" i="20"/>
  <c r="G19" i="20"/>
  <c r="G15" i="20"/>
  <c r="G20" i="20"/>
  <c r="G21" i="20"/>
  <c r="G22" i="20"/>
  <c r="G24" i="20"/>
  <c r="G23" i="20"/>
  <c r="G25" i="20"/>
  <c r="G26" i="20"/>
  <c r="G27" i="20"/>
  <c r="G28" i="20"/>
  <c r="G29" i="20"/>
  <c r="G30" i="20"/>
  <c r="G32" i="20"/>
  <c r="G35" i="20"/>
  <c r="G34" i="20"/>
  <c r="G36" i="20"/>
  <c r="G37" i="20"/>
  <c r="G38" i="20"/>
  <c r="G39" i="20"/>
  <c r="G41" i="20"/>
  <c r="G40" i="20"/>
  <c r="G42" i="20"/>
  <c r="G43" i="20"/>
  <c r="F7" i="20"/>
  <c r="F8" i="20"/>
  <c r="F9" i="20"/>
  <c r="F16" i="20"/>
  <c r="F10" i="20"/>
  <c r="F14" i="20"/>
  <c r="F11" i="20"/>
  <c r="F12" i="20"/>
  <c r="F17" i="20"/>
  <c r="F18" i="20"/>
  <c r="F19" i="20"/>
  <c r="F15" i="20"/>
  <c r="F20" i="20"/>
  <c r="F21" i="20"/>
  <c r="F22" i="20"/>
  <c r="F24" i="20"/>
  <c r="F23" i="20"/>
  <c r="F25" i="20"/>
  <c r="F26" i="20"/>
  <c r="F27" i="20"/>
  <c r="F28" i="20"/>
  <c r="F29" i="20"/>
  <c r="F30" i="20"/>
  <c r="F32" i="20"/>
  <c r="F35" i="20"/>
  <c r="F34" i="20"/>
  <c r="F36" i="20"/>
  <c r="F37" i="20"/>
  <c r="F38" i="20"/>
  <c r="F39" i="20"/>
  <c r="F41" i="20"/>
  <c r="F40" i="20"/>
  <c r="F42" i="20"/>
  <c r="F43" i="20"/>
  <c r="E7" i="20"/>
  <c r="E8" i="20"/>
  <c r="E9" i="20"/>
  <c r="E16" i="20"/>
  <c r="E10" i="20"/>
  <c r="E14" i="20"/>
  <c r="E11" i="20"/>
  <c r="E12" i="20"/>
  <c r="E17" i="20"/>
  <c r="E18" i="20"/>
  <c r="E19" i="20"/>
  <c r="E15" i="20"/>
  <c r="E20" i="20"/>
  <c r="E21" i="20"/>
  <c r="E22" i="20"/>
  <c r="E24" i="20"/>
  <c r="E23" i="20"/>
  <c r="E25" i="20"/>
  <c r="E26" i="20"/>
  <c r="E27" i="20"/>
  <c r="E28" i="20"/>
  <c r="E29" i="20"/>
  <c r="E30" i="20"/>
  <c r="E32" i="20"/>
  <c r="E35" i="20"/>
  <c r="E34" i="20"/>
  <c r="E36" i="20"/>
  <c r="E37" i="20"/>
  <c r="E38" i="20"/>
  <c r="E39" i="20"/>
  <c r="E41" i="20"/>
  <c r="E40" i="20"/>
  <c r="E42" i="20"/>
  <c r="E43" i="20"/>
  <c r="M7" i="19"/>
  <c r="M6" i="19"/>
  <c r="M8" i="19"/>
  <c r="M9" i="19"/>
  <c r="M11" i="19"/>
  <c r="M10" i="19"/>
  <c r="M12" i="19"/>
  <c r="M14" i="19"/>
  <c r="M15" i="19"/>
  <c r="M16" i="19"/>
  <c r="M17" i="19"/>
  <c r="M13" i="19"/>
  <c r="M21" i="19"/>
  <c r="M22" i="19"/>
  <c r="M34" i="19"/>
  <c r="M23" i="19"/>
  <c r="M27" i="19"/>
  <c r="M31" i="19"/>
  <c r="M33" i="19"/>
  <c r="M19" i="19"/>
  <c r="M20" i="19"/>
  <c r="M30" i="19"/>
  <c r="M32" i="19"/>
  <c r="M36" i="19"/>
  <c r="M35" i="19"/>
  <c r="M37" i="19"/>
  <c r="M40" i="19"/>
  <c r="M39" i="19"/>
  <c r="M41" i="19"/>
  <c r="M42" i="19"/>
  <c r="M43" i="19"/>
  <c r="M44" i="19"/>
  <c r="M45" i="19"/>
  <c r="L7" i="19"/>
  <c r="L6" i="19"/>
  <c r="L8" i="19"/>
  <c r="L9" i="19"/>
  <c r="L11" i="19"/>
  <c r="L10" i="19"/>
  <c r="L12" i="19"/>
  <c r="L14" i="19"/>
  <c r="L15" i="19"/>
  <c r="L16" i="19"/>
  <c r="L17" i="19"/>
  <c r="L13" i="19"/>
  <c r="L21" i="19"/>
  <c r="L22" i="19"/>
  <c r="L34" i="19"/>
  <c r="L23" i="19"/>
  <c r="L27" i="19"/>
  <c r="L31" i="19"/>
  <c r="L33" i="19"/>
  <c r="L19" i="19"/>
  <c r="L26" i="19"/>
  <c r="L24" i="19"/>
  <c r="L28" i="19"/>
  <c r="L20" i="19"/>
  <c r="L25" i="19"/>
  <c r="L29" i="19"/>
  <c r="L30" i="19"/>
  <c r="L32" i="19"/>
  <c r="L36" i="19"/>
  <c r="L35" i="19"/>
  <c r="L39" i="19"/>
  <c r="L43" i="19"/>
  <c r="L45" i="19"/>
  <c r="L46" i="19"/>
  <c r="L47" i="19"/>
  <c r="I7" i="19"/>
  <c r="I6" i="19"/>
  <c r="I8" i="19"/>
  <c r="I9" i="19"/>
  <c r="I11" i="19"/>
  <c r="I10" i="19"/>
  <c r="I12" i="19"/>
  <c r="I14" i="19"/>
  <c r="I15" i="19"/>
  <c r="I16" i="19"/>
  <c r="I17" i="19"/>
  <c r="I13" i="19"/>
  <c r="I21" i="19"/>
  <c r="I22" i="19"/>
  <c r="I34" i="19"/>
  <c r="I23" i="19"/>
  <c r="I27" i="19"/>
  <c r="I31" i="19"/>
  <c r="I33" i="19"/>
  <c r="I19" i="19"/>
  <c r="I26" i="19"/>
  <c r="I24" i="19"/>
  <c r="I28" i="19"/>
  <c r="I20" i="19"/>
  <c r="I25" i="19"/>
  <c r="I29" i="19"/>
  <c r="I30" i="19"/>
  <c r="I32" i="19"/>
  <c r="I36" i="19"/>
  <c r="I35" i="19"/>
  <c r="I37" i="19"/>
  <c r="I40" i="19"/>
  <c r="I39" i="19"/>
  <c r="I41" i="19"/>
  <c r="I42" i="19"/>
  <c r="I43" i="19"/>
  <c r="I44" i="19"/>
  <c r="I45" i="19"/>
  <c r="I46" i="19"/>
  <c r="I47" i="19"/>
  <c r="G7" i="19"/>
  <c r="G6" i="19"/>
  <c r="G8" i="19"/>
  <c r="G9" i="19"/>
  <c r="G11" i="19"/>
  <c r="G10" i="19"/>
  <c r="G12" i="19"/>
  <c r="G14" i="19"/>
  <c r="G15" i="19"/>
  <c r="G16" i="19"/>
  <c r="G17" i="19"/>
  <c r="G13" i="19"/>
  <c r="G21" i="19"/>
  <c r="G22" i="19"/>
  <c r="G34" i="19"/>
  <c r="G23" i="19"/>
  <c r="G27" i="19"/>
  <c r="G31" i="19"/>
  <c r="G33" i="19"/>
  <c r="G19" i="19"/>
  <c r="G26" i="19"/>
  <c r="G24" i="19"/>
  <c r="G28" i="19"/>
  <c r="G20" i="19"/>
  <c r="G25" i="19"/>
  <c r="G29" i="19"/>
  <c r="G30" i="19"/>
  <c r="G32" i="19"/>
  <c r="G36" i="19"/>
  <c r="G35" i="19"/>
  <c r="G37" i="19"/>
  <c r="G40" i="19"/>
  <c r="G39" i="19"/>
  <c r="G42" i="19"/>
  <c r="G43" i="19"/>
  <c r="G44" i="19"/>
  <c r="G45" i="19"/>
  <c r="G46" i="19"/>
  <c r="G47" i="19"/>
  <c r="F7" i="19"/>
  <c r="F6" i="19"/>
  <c r="F8" i="19"/>
  <c r="F9" i="19"/>
  <c r="F11" i="19"/>
  <c r="F10" i="19"/>
  <c r="F12" i="19"/>
  <c r="F14" i="19"/>
  <c r="F15" i="19"/>
  <c r="F16" i="19"/>
  <c r="F17" i="19"/>
  <c r="F13" i="19"/>
  <c r="F21" i="19"/>
  <c r="F22" i="19"/>
  <c r="F34" i="19"/>
  <c r="F23" i="19"/>
  <c r="F27" i="19"/>
  <c r="F31" i="19"/>
  <c r="F33" i="19"/>
  <c r="F19" i="19"/>
  <c r="F26" i="19"/>
  <c r="F24" i="19"/>
  <c r="F28" i="19"/>
  <c r="F20" i="19"/>
  <c r="F25" i="19"/>
  <c r="F29" i="19"/>
  <c r="F30" i="19"/>
  <c r="F32" i="19"/>
  <c r="F36" i="19"/>
  <c r="F35" i="19"/>
  <c r="F37" i="19"/>
  <c r="F40" i="19"/>
  <c r="F39" i="19"/>
  <c r="F41" i="19"/>
  <c r="F42" i="19"/>
  <c r="F43" i="19"/>
  <c r="F44" i="19"/>
  <c r="F45" i="19"/>
  <c r="F46" i="19"/>
  <c r="F47" i="19"/>
  <c r="E7" i="19"/>
  <c r="D7" i="20"/>
  <c r="D8" i="20"/>
  <c r="D9" i="20"/>
  <c r="D16" i="20"/>
  <c r="D10" i="20"/>
  <c r="D14" i="20"/>
  <c r="D11" i="20"/>
  <c r="D12" i="20"/>
  <c r="D17" i="20"/>
  <c r="D18" i="20"/>
  <c r="D19" i="20"/>
  <c r="D15" i="20"/>
  <c r="D20" i="20"/>
  <c r="D21" i="20"/>
  <c r="D22" i="20"/>
  <c r="D24" i="20"/>
  <c r="D23" i="20"/>
  <c r="D25" i="20"/>
  <c r="D26" i="20"/>
  <c r="D27" i="20"/>
  <c r="D28" i="20"/>
  <c r="D29" i="20"/>
  <c r="D30" i="20"/>
  <c r="D32" i="20"/>
  <c r="D35" i="20"/>
  <c r="D34" i="20"/>
  <c r="D36" i="20"/>
  <c r="D37" i="20"/>
  <c r="D38" i="20"/>
  <c r="D39" i="20"/>
  <c r="D41" i="20"/>
  <c r="D40" i="20"/>
  <c r="D42" i="20"/>
  <c r="D43" i="20"/>
  <c r="C7" i="20"/>
  <c r="C8" i="20"/>
  <c r="C9" i="20"/>
  <c r="C16" i="20"/>
  <c r="C10" i="20"/>
  <c r="C14" i="20"/>
  <c r="C11" i="20"/>
  <c r="C12" i="20"/>
  <c r="C17" i="20"/>
  <c r="C18" i="20"/>
  <c r="C19" i="20"/>
  <c r="C15" i="20"/>
  <c r="C20" i="20"/>
  <c r="C21" i="20"/>
  <c r="C22" i="20"/>
  <c r="C24" i="20"/>
  <c r="C23" i="20"/>
  <c r="C25" i="20"/>
  <c r="C26" i="20"/>
  <c r="C27" i="20"/>
  <c r="C28" i="20"/>
  <c r="C29" i="20"/>
  <c r="C30" i="20"/>
  <c r="C32" i="20"/>
  <c r="C35" i="20"/>
  <c r="C34" i="20"/>
  <c r="C36" i="20"/>
  <c r="C37" i="20"/>
  <c r="C38" i="20"/>
  <c r="C39" i="20"/>
  <c r="C41" i="20"/>
  <c r="C40" i="20"/>
  <c r="C42" i="20"/>
  <c r="C43" i="20"/>
  <c r="E6" i="19"/>
  <c r="E8" i="19"/>
  <c r="E9" i="19"/>
  <c r="E11" i="19"/>
  <c r="E10" i="19"/>
  <c r="E12" i="19"/>
  <c r="E14" i="19"/>
  <c r="E15" i="19"/>
  <c r="E16" i="19"/>
  <c r="E17" i="19"/>
  <c r="E13" i="19"/>
  <c r="E21" i="19"/>
  <c r="E22" i="19"/>
  <c r="E34" i="19"/>
  <c r="E23" i="19"/>
  <c r="E27" i="19"/>
  <c r="E31" i="19"/>
  <c r="E33" i="19"/>
  <c r="E19" i="19"/>
  <c r="E26" i="19"/>
  <c r="E24" i="19"/>
  <c r="E28" i="19"/>
  <c r="E20" i="19"/>
  <c r="E25" i="19"/>
  <c r="E29" i="19"/>
  <c r="E30" i="19"/>
  <c r="E32" i="19"/>
  <c r="E36" i="19"/>
  <c r="E35" i="19"/>
  <c r="E37" i="19"/>
  <c r="E40" i="19"/>
  <c r="E39" i="19"/>
  <c r="E41" i="19"/>
  <c r="E42" i="19"/>
  <c r="E43" i="19"/>
  <c r="E44" i="19"/>
  <c r="E45" i="19"/>
  <c r="E46" i="19"/>
  <c r="E47" i="19"/>
  <c r="D7" i="19"/>
  <c r="D6" i="19"/>
  <c r="D8" i="19"/>
  <c r="D9" i="19"/>
  <c r="D11" i="19"/>
  <c r="D10" i="19"/>
  <c r="D12" i="19"/>
  <c r="D14" i="19"/>
  <c r="D15" i="19"/>
  <c r="D16" i="19"/>
  <c r="D17" i="19"/>
  <c r="D13" i="19"/>
  <c r="D21" i="19"/>
  <c r="D22" i="19"/>
  <c r="D34" i="19"/>
  <c r="D23" i="19"/>
  <c r="D27" i="19"/>
  <c r="D31" i="19"/>
  <c r="D33" i="19"/>
  <c r="D19" i="19"/>
  <c r="D26" i="19"/>
  <c r="D24" i="19"/>
  <c r="D28" i="19"/>
  <c r="D20" i="19"/>
  <c r="D25" i="19"/>
  <c r="D29" i="19"/>
  <c r="D30" i="19"/>
  <c r="D32" i="19"/>
  <c r="D36" i="19"/>
  <c r="D35" i="19"/>
  <c r="D37" i="19"/>
  <c r="D40" i="19"/>
  <c r="D39" i="19"/>
  <c r="D41" i="19"/>
  <c r="D42" i="19"/>
  <c r="D43" i="19"/>
  <c r="D44" i="19"/>
  <c r="D45" i="19"/>
  <c r="D46" i="19"/>
  <c r="D47" i="19"/>
  <c r="C6" i="19"/>
  <c r="C8" i="19"/>
  <c r="C9" i="19"/>
  <c r="C11" i="19"/>
  <c r="C10" i="19"/>
  <c r="C12" i="19"/>
  <c r="C14" i="19"/>
  <c r="C15" i="19"/>
  <c r="C16" i="19"/>
  <c r="C17" i="19"/>
  <c r="C13" i="19"/>
  <c r="C21" i="19"/>
  <c r="C22" i="19"/>
  <c r="C34" i="19"/>
  <c r="C23" i="19"/>
  <c r="C27" i="19"/>
  <c r="C31" i="19"/>
  <c r="C33" i="19"/>
  <c r="C19" i="19"/>
  <c r="C26" i="19"/>
  <c r="C24" i="19"/>
  <c r="C28" i="19"/>
  <c r="C20" i="19"/>
  <c r="C25" i="19"/>
  <c r="C29" i="19"/>
  <c r="C30" i="19"/>
  <c r="C32" i="19"/>
  <c r="C36" i="19"/>
  <c r="C35" i="19"/>
  <c r="C37" i="19"/>
  <c r="C40" i="19"/>
  <c r="C39" i="19"/>
  <c r="C41" i="19"/>
  <c r="C42" i="19"/>
  <c r="C43" i="19"/>
  <c r="C44" i="19"/>
  <c r="C45" i="19"/>
  <c r="C46" i="19"/>
  <c r="C4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tc={3637A49F-0FA8-4DB4-9799-3FB713A17B4E}</author>
  </authors>
  <commentList>
    <comment ref="M57" authorId="0" shapeId="0" xr:uid="{00000000-0006-0000-0100-00000100000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à modifier</t>
      </text>
    </comment>
  </commentList>
</comments>
</file>

<file path=xl/sharedStrings.xml><?xml version="1.0" encoding="utf-8"?>
<sst xmlns="http://schemas.openxmlformats.org/spreadsheetml/2006/main" count="4104" uniqueCount="1235">
  <si>
    <t>Mise en lumière de l’offre de prise en charge des conduites addictives en Bourgogne Franche-Comté</t>
  </si>
  <si>
    <t>Présentation du répertoire</t>
  </si>
  <si>
    <r>
      <t xml:space="preserve">
Bienvenue dans le répertoire des opérateurs de la région Bourgogne Franche-Comté spécialisés dans la prise en charge des 
conduites addictives.
Ce document mis en place par l'Agence Régionale de Santé de Bourgogne Franche-Comté et développé par le cabinet Eneis by KPMG contient toutes les informations sur l'offre du territoire. 
Afin de trouver rapidement une structure, vous pouvez cliquer sur les critères ci-dessous qui vous guideront vers la liste des établissements recherchés. 
</t>
    </r>
    <r>
      <rPr>
        <b/>
        <sz val="14"/>
        <color theme="1"/>
        <rFont val="Calibri"/>
        <family val="2"/>
        <scheme val="minor"/>
      </rPr>
      <t>Cliquez sur le type de structure recherchée :</t>
    </r>
  </si>
  <si>
    <t xml:space="preserve">Légende du répertoire : </t>
  </si>
  <si>
    <t>CSAPA/Antenne de CSAPA/Consultations avancées</t>
  </si>
  <si>
    <t>CAARUD</t>
  </si>
  <si>
    <t>CJC (Consultations Jeunes Consommateurs)</t>
  </si>
  <si>
    <t>Consultations Hospitalières externes d'addictologie</t>
  </si>
  <si>
    <t>Equipe de Liaison et de Soins en Addictologie</t>
  </si>
  <si>
    <t>Sevrage simple</t>
  </si>
  <si>
    <t xml:space="preserve">Soins complexes </t>
  </si>
  <si>
    <t>Unité d'hospitalisation de jour</t>
  </si>
  <si>
    <t>Unité sanitaire en milieu pénitentiaire</t>
  </si>
  <si>
    <t>SMRA (Soins Médicaux de Réadaptation en Addictologie)</t>
  </si>
  <si>
    <t>Structures accessibles sur accès direct</t>
  </si>
  <si>
    <t>Pour consulter les structures par département, cliquer sur les icones ci-contre.</t>
  </si>
  <si>
    <t>Toutes les structures de la région, accessibles sur orientation d'un professionnel de santé</t>
  </si>
  <si>
    <t>Référence</t>
  </si>
  <si>
    <t>Département</t>
  </si>
  <si>
    <t>Commune d'implantation de la structure</t>
  </si>
  <si>
    <t>Code postal</t>
  </si>
  <si>
    <t>Adresse</t>
  </si>
  <si>
    <t>Type de structure</t>
  </si>
  <si>
    <t>Nom de la structure</t>
  </si>
  <si>
    <t>Statut de la structure</t>
  </si>
  <si>
    <t>Mail</t>
  </si>
  <si>
    <t>Numéro de téléphone</t>
  </si>
  <si>
    <t>Site internet</t>
  </si>
  <si>
    <t>Jours et horaires</t>
  </si>
  <si>
    <t>Informations complémentaires</t>
  </si>
  <si>
    <t>NFC</t>
  </si>
  <si>
    <t>Jura (39)</t>
  </si>
  <si>
    <t>Arbois</t>
  </si>
  <si>
    <t>17 rue de l'Hôtel de ville, 39600 Arbois</t>
  </si>
  <si>
    <t>Antenne CSAPA</t>
  </si>
  <si>
    <t>CSAPA de l'ADLCA</t>
  </si>
  <si>
    <t>Associatif</t>
  </si>
  <si>
    <t>arbois@adlca.fr</t>
  </si>
  <si>
    <t>0384252612</t>
  </si>
  <si>
    <t>https://csapa-adlca.fr</t>
  </si>
  <si>
    <t>lundi au vendredi, 9h-17h30</t>
  </si>
  <si>
    <t xml:space="preserve">  </t>
  </si>
  <si>
    <t>Saône-et-Loire (71)</t>
  </si>
  <si>
    <t>Autun</t>
  </si>
  <si>
    <t>15 rue deguin</t>
  </si>
  <si>
    <t>Addictions France 71</t>
  </si>
  <si>
    <t>csapa.autun@addictions-france.org</t>
  </si>
  <si>
    <t>0385521490</t>
  </si>
  <si>
    <t>Mardi 9h30 à 12h30 13h à 18h
Vendredi 9h30 à 12h30 et 13h à 16h</t>
  </si>
  <si>
    <t>mise à disposition de matériel de consommation à moindre risque ; présence d'une CJC.</t>
  </si>
  <si>
    <t>71400</t>
  </si>
  <si>
    <t xml:space="preserve">7bis rue de parpas </t>
  </si>
  <si>
    <t>CH Autun</t>
  </si>
  <si>
    <t>Public</t>
  </si>
  <si>
    <t>http://ch-autun.fr/contact/@ch-autun.fr</t>
  </si>
  <si>
    <t>03 85 86 84 84</t>
  </si>
  <si>
    <t xml:space="preserve"> </t>
  </si>
  <si>
    <t>lundi matin, mercredi matin un jeudi sur deux</t>
  </si>
  <si>
    <t>Intervention auprès de public majeurs et mineurs</t>
  </si>
  <si>
    <t>CH Autun, 7 Bis rue Parpas, Dans plusieurs services</t>
  </si>
  <si>
    <t>ELSA</t>
  </si>
  <si>
    <t>- intervention auprès de public majeur ; 
-interventions dans tous les services</t>
  </si>
  <si>
    <t>7bis rue de parpas 
Hôpital les Chanaux, Bd L Escandes</t>
  </si>
  <si>
    <t>CH Autun
Hôpital les Chanaux, Bd L Escandes (Macon)</t>
  </si>
  <si>
    <r>
      <t xml:space="preserve">http://ch-autun.fr/contact/
Macon : </t>
    </r>
    <r>
      <rPr>
        <i/>
        <u/>
        <sz val="11"/>
        <color theme="10"/>
        <rFont val="Calibri"/>
        <family val="2"/>
        <scheme val="minor"/>
      </rPr>
      <t>pamenecier@ch-macon.fr</t>
    </r>
  </si>
  <si>
    <t>03 85 86 84 84
Macon : 03 85 27 53 69</t>
  </si>
  <si>
    <t>https://www.ch-macon.fr/patients-usagers/services/addictologie/</t>
  </si>
  <si>
    <t xml:space="preserve">- interventions auprès d'un public majeur ; 
- lits installés au sein d'une même unité ; 
- unité de médecine 2
Macon : 
'- interventions auprès d'un public majeur ; 
- lits installés au sein d'une même unité ; 
- une unité de médecine polyvalente.
</t>
  </si>
  <si>
    <t>Yonne (89)</t>
  </si>
  <si>
    <t>Auxerre</t>
  </si>
  <si>
    <t>89000</t>
  </si>
  <si>
    <t>8 Rue Colonel Rozanoff</t>
  </si>
  <si>
    <t>CAARUD Addictions France</t>
  </si>
  <si>
    <t>caarud.auxerre@addictions-france.org</t>
  </si>
  <si>
    <t>03.86.33.76.41</t>
  </si>
  <si>
    <t>www.addictions-france.org</t>
  </si>
  <si>
    <t xml:space="preserve"> lundi mardi et jeudi 9h30-13h / 13h30-17h45
vendredi 9h-12h / 13h30-17h45 
fermé le mercredi</t>
  </si>
  <si>
    <t xml:space="preserve">- unité mobile pouvant servir de lieu d'accueil (déplacement sur tout le département) ; 
- intervention en maraude ; 
- programme d'échange de seringues ;
- intervention en milieu festif. </t>
  </si>
  <si>
    <t>CJC</t>
  </si>
  <si>
    <t>CSAPA - Association Addictions France</t>
  </si>
  <si>
    <t>bfc89@addictions-france.org</t>
  </si>
  <si>
    <t>03.86.51.46.99</t>
  </si>
  <si>
    <t>Auxerre
Mercredi de 11h30 à 17h30
Lundi de 17h à 18h
vendredi de 13h30 à 16h30
Sens
Mercredi de 9h30 à 17h
Vendredi de 13h30 à 17h</t>
  </si>
  <si>
    <t xml:space="preserve">- Accueil des familles ; 
- Orientation sur rendez-vous ;
- CJC accessible à la famille et l'entourage ; 
- locaux identiques à ceux du CSAPA. </t>
  </si>
  <si>
    <t>2, boulevard de Verdun</t>
  </si>
  <si>
    <t>CENTRE HOSPITALIER d'AUXERRE</t>
  </si>
  <si>
    <t>scdag@ch-auxerre.fr</t>
  </si>
  <si>
    <t>03-86-48-48-62</t>
  </si>
  <si>
    <t>https://www.ght-unyon.fr/</t>
  </si>
  <si>
    <t>Sur rendez vous du lundi au vendredi</t>
  </si>
  <si>
    <t>4 Av. Pierre Scherrer</t>
  </si>
  <si>
    <t>CHS Yonne</t>
  </si>
  <si>
    <t>secteur3@chs-yonne.fr</t>
  </si>
  <si>
    <t>03 86 94 38 71</t>
  </si>
  <si>
    <t>http://www.chs-yonne.fr/</t>
  </si>
  <si>
    <t>du lundi au vendredi de 09:00 à 16:30</t>
  </si>
  <si>
    <t xml:space="preserve">Intervention auprès de public majeurs </t>
  </si>
  <si>
    <t>CSAPA</t>
  </si>
  <si>
    <t>Lundi 9h-13h / 13h30-18h
Mardi 8h30-13h / 13h30-19h
Mercredi 8h30-13h / 13h30-18h
Jeudi 9h-13h / 13h30-19h
Vendredi 8h30-13h / 13h30-16h30</t>
  </si>
  <si>
    <t>Permanences présentes à Migennes, Saint Florentin, Tonnerre, Toucy, Saint Sauveur, Charny, Bléneau et Joigny)
- intervention en milieu pénitentiaire à la maison d'arrêt d'Auxerre et au Centre de détention de Joux-la-Ville ;
- mise à disposition de matériel de consommation à moindre risque ;
- proposition de test rapide d'orientation diagnostic (TROD) ; 
- dispositifs anti-overdose à disposition ; 
- présence d'une CJC.
CJC Avancées qui dépendent du CSAPA d'Auxerre : Lycée Louis Davier (Joigny), EREA Jules Verne (Joigny) Collège marie Noel (Joigny), Collège Jacques Prévert (Migennes), Collège Philippe Cousteau (Brienon), Cité scolaire Pierre Larousse (Toucy), Collège Jean-Roch (Courson les carrières), Collège de Puisaye (St Fargeau), Collège Colette (St Sauveur en Puisaye), MFR Toucy, Collège Michel Gondry (Charny)</t>
  </si>
  <si>
    <t>CHRS 4 rue Thomas Ancel</t>
  </si>
  <si>
    <t>CSAPA (consultations avancées)</t>
  </si>
  <si>
    <t>CSAPA - Association Addictions France - consultations avancées</t>
  </si>
  <si>
    <t>jeudi matin 9h-13h</t>
  </si>
  <si>
    <t>Réalisation de consultations avancées</t>
  </si>
  <si>
    <t>CENTRE HOSPITALIER d'AUXERRE, 2 boulevard de Verdun, Dans plusieurs services</t>
  </si>
  <si>
    <t>- intervention auprès de public majeur ; 
- Intervention au sein de tous les services du CHA y compris en pédiatrie avec des mineurs</t>
  </si>
  <si>
    <t>03 86 34 86 00 (CMP Avallon) ou 03 86 54 80 70 (CMP Tonnerre)</t>
  </si>
  <si>
    <t>- intervention auprès de public majeur ; 
- interventions en urgences  CH Auxerre, Avallon et Tonnerre 
Médecine polyvalente CH Auxerre, Avallon et Tonnerre 
CMP AVALLON et TONNERRE
PASS Psy
Services d'addiction des CH</t>
  </si>
  <si>
    <t>2 boulevard Verdun</t>
  </si>
  <si>
    <t>- intervention auprès de public majeur et mineur ; 
- lits installés au sein d'une même unité ; 
- unité hépatogastrologie</t>
  </si>
  <si>
    <t>03 86 94 38 10 secrétariat Addictologie</t>
  </si>
  <si>
    <t>- interventions auprès d'un public majeur ; 
- lits installés au sein d'une même unité ; 
- unité Michel Thuillier</t>
  </si>
  <si>
    <t>Soins complexes</t>
  </si>
  <si>
    <t xml:space="preserve">- intervention auprès de public majeur ; 
- accueille également des patients pour des sevrages simples </t>
  </si>
  <si>
    <t>03 86 94 38 10 secrétariat Addictologie)</t>
  </si>
  <si>
    <t>- intervention auprès d'un public majeur</t>
  </si>
  <si>
    <t>Maison d’arrêt d’Auxerre;Centre de détention de Joux-la-Ville</t>
  </si>
  <si>
    <t>- unité de consultations et de soins ambulatoires (UCSA) ;
- intervention de niveau 1 (consultations, prestations et activités ambulatoires).</t>
  </si>
  <si>
    <t>Côte-d’Or (21)</t>
  </si>
  <si>
    <t>Auxonne</t>
  </si>
  <si>
    <t>21121</t>
  </si>
  <si>
    <t>Centre hospitalier, 5 rue du Château 21130 Auxonne</t>
  </si>
  <si>
    <t>Association Addictions France 21</t>
  </si>
  <si>
    <t>csapa.dijon@addictions-france.org</t>
  </si>
  <si>
    <t>03 80 73 26 32</t>
  </si>
  <si>
    <t>jeudi : 9h-12h30 13h-16h</t>
  </si>
  <si>
    <t xml:space="preserve">Antenne CSAPA </t>
  </si>
  <si>
    <t>Jeudi 9h-12h30 13h-16h</t>
  </si>
  <si>
    <t>Avallon</t>
  </si>
  <si>
    <t>Centre hospitalier, 1 Rue de l'Hôpital 89200 Avallon</t>
  </si>
  <si>
    <t xml:space="preserve">Association Addictions France </t>
  </si>
  <si>
    <t>Mardi 9h 17h30  / Vendredi : 9h 17h00</t>
  </si>
  <si>
    <t xml:space="preserve">  </t>
  </si>
  <si>
    <t>Centre hospitalier, Centre de périnatalité : 1 rue de l'Hôpital 89200 Avallon</t>
  </si>
  <si>
    <t>Association Addictions France</t>
  </si>
  <si>
    <t>Mardi 9h 17h30 / Vendredi : 9h 17h00 en fonction des RV</t>
  </si>
  <si>
    <t xml:space="preserve">Centre hospitalier 1 rue de l'Hôpital 89200 Avallon </t>
  </si>
  <si>
    <t>mardi : 9h-17h30 : Vendredi : 9h-17h</t>
  </si>
  <si>
    <t>Centre de périnatalité 1 rue de l'Hôpital 89200 Avallon</t>
  </si>
  <si>
    <t>mardi : 9h-17h30 / Vendredi : 9h-17h en fonction des RV</t>
  </si>
  <si>
    <t xml:space="preserve"> Résidence Sociale Coallia 10 avenue Victor Hugo 89200 Avallon</t>
  </si>
  <si>
    <t>1/2 journée / mois de 9h à 12h30</t>
  </si>
  <si>
    <t>Pension de famille Coallia 10 avenue Victor Hugo 89200 Avallon</t>
  </si>
  <si>
    <t>1 mercredi après-midi par mois rue du Stade 89200 Avallon : 13h30-17h30, 1 vendredi matin par mois 10 avenue Victor Hugo 89200 Avallon ; 9h - 12h30</t>
  </si>
  <si>
    <t>Doubs (25)</t>
  </si>
  <si>
    <t>Baumes Les Dames</t>
  </si>
  <si>
    <t>CMS Baumes les Dames, 2 rue des Frères Grenier</t>
  </si>
  <si>
    <t>CSAPA de Besançon - Association Addictions France - consultations avancées</t>
  </si>
  <si>
    <t>csapa.besancon@addictions-france.org</t>
  </si>
  <si>
    <t>03.81.83.22.79</t>
  </si>
  <si>
    <t>Un mardi toute les trois semaines de 9h à 12h et de 13h30 à 17h</t>
  </si>
  <si>
    <t>Territoire de Belfort (90)</t>
  </si>
  <si>
    <t>Bavilliers</t>
  </si>
  <si>
    <t>90800</t>
  </si>
  <si>
    <t>Hôpital psychiatrique, 5 rte de Froideval</t>
  </si>
  <si>
    <t>AHBFC</t>
  </si>
  <si>
    <t>contact@ahbfc.fr</t>
  </si>
  <si>
    <t>03 84 57 45 37</t>
  </si>
  <si>
    <t>www.ahbfc.fr</t>
  </si>
  <si>
    <t>- intervention auprès de public majeur ; 
- intervention en urgences HNFC, services MCO HNFC, services psychiatriques AHBFC</t>
  </si>
  <si>
    <t>Oui</t>
  </si>
  <si>
    <t>CPG
59 rue Paul Vinot
70400 Héricourt</t>
  </si>
  <si>
    <t>03 84 90 89 00</t>
  </si>
  <si>
    <t>- interventions auprès d'un public majeur ; 
- lits installés au sein d'une même unité ; 
- unité de CPG Héricourt, 3ème étage</t>
  </si>
  <si>
    <t>Beaune</t>
  </si>
  <si>
    <t>10, avenue Jaffelin 21200 Beaune</t>
  </si>
  <si>
    <t>csapa.beaune@addictions-France.org</t>
  </si>
  <si>
    <t>03 80 25 73 67</t>
  </si>
  <si>
    <t xml:space="preserve">Lu : 9h-16h30 / Ma : 9h 14h / Me : 9h 12h / Je : 9h 16h / Ve : 9h 12h </t>
  </si>
  <si>
    <t>10, Rue Jaffelin</t>
  </si>
  <si>
    <t>CSAPA Tivoli, Caarud le Spot - SEDAP</t>
  </si>
  <si>
    <t>csapa.beaune@addictions-sedap.fr</t>
  </si>
  <si>
    <t>0380257367</t>
  </si>
  <si>
    <t>Tous les jours - 9h-12h et 14h-17h</t>
  </si>
  <si>
    <t xml:space="preserve">   </t>
  </si>
  <si>
    <t>21200</t>
  </si>
  <si>
    <t>HOSPICES CIVILS DE BEAUNE
Nouveau bâtiment, 1er étage 
Avenue Guigone de Salins</t>
  </si>
  <si>
    <t>Hospices Civils de Beaune</t>
  </si>
  <si>
    <t>direction@ch-beaune.fr</t>
  </si>
  <si>
    <t>0380244608</t>
  </si>
  <si>
    <t>http://hospices-de-beaune.com/</t>
  </si>
  <si>
    <t>Du lundi au vendredi de 9h00 à 17h00</t>
  </si>
  <si>
    <t xml:space="preserve"> Intervention auprès de majeurs et mineurs.</t>
  </si>
  <si>
    <t>- intervention auprès de public majeur ; 
- Intervention sur l'ensemble des services de l'hôpital</t>
  </si>
  <si>
    <t>HOSPICES CIVILS DE BEAUNE
Avenue Guigone de Salins</t>
  </si>
  <si>
    <t xml:space="preserve">- interventions auprès d'un public majeur ; 
- pas de lit déidié, demande auprès du service de rattachement selon disponibilité ;
- unité de médecine 2, service de médecine polyvalente à orientation gastroentérologique et oncologique. </t>
  </si>
  <si>
    <t>Belfort</t>
  </si>
  <si>
    <t>6 rue du rhône</t>
  </si>
  <si>
    <t>CSAPA Le Relais Equinoxe - Association d'Hygiène Sociale de Franche Comté</t>
  </si>
  <si>
    <t xml:space="preserve">pole-addictologie.nfc@afs-fc.fr </t>
  </si>
  <si>
    <t>03.84.21.76.02</t>
  </si>
  <si>
    <t>www.ahs-fc.fr</t>
  </si>
  <si>
    <t>mercredi 14H - 17H</t>
  </si>
  <si>
    <t xml:space="preserve">- Accueil des familles ; 
- Orientation avec et sans rendez-vous ;
- CJC accessible à la famille et l'entourage ; </t>
  </si>
  <si>
    <t>CMP Adultes, 53 Bd  Renaud de Bourgogne</t>
  </si>
  <si>
    <t>du lundi au vendredi après-midi (14h-17h), sur rendez-vous.</t>
  </si>
  <si>
    <t>Intervention auprès de public majeurs</t>
  </si>
  <si>
    <t>CMP, 2 Av. des Usines</t>
  </si>
  <si>
    <t>CMP (AHBFC)</t>
  </si>
  <si>
    <t>03 84 68 25 00</t>
  </si>
  <si>
    <t>du lundi au vendredi 14h-17h</t>
  </si>
  <si>
    <t>5 Rue Jacqueline Auriol</t>
  </si>
  <si>
    <t>HNFC consultations Tech'nom (Hôpital Nord Franche-Comté)</t>
  </si>
  <si>
    <t>crap.medecine.secr@hnfc.fr</t>
  </si>
  <si>
    <t>03 84 98 23 50</t>
  </si>
  <si>
    <t>www.hnfc.fr</t>
  </si>
  <si>
    <t xml:space="preserve"> lundi de 8H30 à 12 H</t>
  </si>
  <si>
    <t>Intervention auprès de public majeurs ainsi qu'à l'Hôpital Nord Franche-Comté</t>
  </si>
  <si>
    <t>90000</t>
  </si>
  <si>
    <t>6 Rue du Rhône</t>
  </si>
  <si>
    <t>CSAPA de Belfort - Association Addictions France
CSAPA Le Relais Equinoxe - Association d'Hygiène Sociale de Franche Comté</t>
  </si>
  <si>
    <t>csapa.belfort@addictions-france.org
pole-addictologie.nfc@ahs-fc.fr</t>
  </si>
  <si>
    <t>03.84.22.31.39
03 84 21 76 02</t>
  </si>
  <si>
    <t>www.addictions-france.org
www.ahs-fc.fr</t>
  </si>
  <si>
    <t>Du Lundi au Jeudi 09H-17H
Le vendredi 09H - 16H
Et CJC le mercredi de 14H à 17H (salle du rez de Chaussée)</t>
  </si>
  <si>
    <t>- Réalisation de consultations avancées sur Trevenans ;
- intervention en milieu festif ;
- Intervention en milieu pénitentiaire à la maison d'arrêt de Belfort ;
- proposition de test rapide d'orientation diagnostic (TROD) ; 
- présence d'une CJC.</t>
  </si>
  <si>
    <t xml:space="preserve">Belfort </t>
  </si>
  <si>
    <t>4 rue Georges Koechlin</t>
  </si>
  <si>
    <t>CAARUD ENTR'ACTES - Association d'Hygiène Sociale de Franche Comté</t>
  </si>
  <si>
    <t>pole-addictologie.nfc@ahs-fc.fr</t>
  </si>
  <si>
    <t>03.84.26.12.20
Unité Mobile : 06 85 11 08 91</t>
  </si>
  <si>
    <t>Belfort : 
mardi et vendredi de 11h à 16h</t>
  </si>
  <si>
    <t>- unité mobile K-mobile pouvant servir de lieu d'accueil (déplacements sur tout le territoire Nord-Franche-Comté) ; 
- programme d'échange de seringues ;
- interventions ponctuelles en maraude ; 
- intervention en milieu festif ;</t>
  </si>
  <si>
    <t>Besancon</t>
  </si>
  <si>
    <t>25000</t>
  </si>
  <si>
    <t>CHU BESANCON/</t>
  </si>
  <si>
    <t>CHU BESANCON/ CH NOVILLARS</t>
  </si>
  <si>
    <t>addictologie-secret@chu-besancon.fr</t>
  </si>
  <si>
    <t>03-81-21-90-08</t>
  </si>
  <si>
    <t>www.chu-besancon.fr</t>
  </si>
  <si>
    <t xml:space="preserve">- intervention auprès de public majeur ; 
- intervention au CHU :Services d'urgences du CHU : SAU, urgences traumatologiques,  urgences psychiatriques et dans tous les services de médecine, chirurgie, obstétrique et de psychiatrie. 
- interventions au CH Novillars dans les services intra hospitaliers de psychiatrie
</t>
  </si>
  <si>
    <t>Besançon</t>
  </si>
  <si>
    <t>2 avenue Fontaine Argent</t>
  </si>
  <si>
    <t>AIDeS CAARUD25</t>
  </si>
  <si>
    <t>delegation25@aides.org</t>
  </si>
  <si>
    <t>03 81 81 80 00</t>
  </si>
  <si>
    <t>aides.org</t>
  </si>
  <si>
    <t>Lundi, mercredi, vendredi de 14h00 à 18h00.</t>
  </si>
  <si>
    <t xml:space="preserve">- unité mobile pouvant servir de lieu d'accueil (déplacement sur Bensançon, Baume les Dames, Clerval, Morteau et Pontarlier) ; 
- programme d'échange de seringues ;
- intervention en maraude ; 
- intervention en milieu festif. </t>
  </si>
  <si>
    <t xml:space="preserve">11 rue d'Alsace </t>
  </si>
  <si>
    <t>CSAPA de Besançon - Association Addictions France</t>
  </si>
  <si>
    <t>03.81.83.22.74</t>
  </si>
  <si>
    <t xml:space="preserve">Mardi de 9h à 20h, mercredi /jeudi de 9h à 18h, vendredi de 9h à 13h &gt; A MODIFIER </t>
  </si>
  <si>
    <t>- Accueil des familles ; 
- Orientation avec et sans rendez-vous ;
- CJC accessible à la famille et l'entourage ; 
Nous portons le dispositif TAPAJ</t>
  </si>
  <si>
    <t xml:space="preserve">3 Rue Victor SELLIER </t>
  </si>
  <si>
    <t>CSAPA SOLEA - ADDSEA Bourgogne Franche Comté</t>
  </si>
  <si>
    <t>solea-bis@addsea.fr</t>
  </si>
  <si>
    <t>0381801217</t>
  </si>
  <si>
    <t>fermé le lundi, 
mardi 9h/20h, mercredi 
jeudi 9h/18h
vendredi 9h/13h</t>
  </si>
  <si>
    <t xml:space="preserve">- Accueil des familles ; 
- Orientation sur rendez-vous ;
- CJC accessible à la famille et l'entourage ; 
Intervention a la Boutique Jeanne Antide (solea)
 EMA (Equipe Mobile en Addictologie)
Nous portons le dispositif TAPAJ &gt; centre de soins et non CJC &gt; concerne solea </t>
  </si>
  <si>
    <t>Site Minjoz, 3 Boulevard ALexandre Fleming</t>
  </si>
  <si>
    <t>CHU Besançon</t>
  </si>
  <si>
    <t xml:space="preserve">Public </t>
  </si>
  <si>
    <t>Secrétariat : 03.81.21.90.08 / Fax: 03.81.21.90.28</t>
  </si>
  <si>
    <t>Consultation spécialisée dans les addictions comportementales</t>
  </si>
  <si>
    <t>3 RUE CHAMPROND BP 181</t>
  </si>
  <si>
    <t xml:space="preserve"> Boutique Jeanne Antide - CSAPA SOLEA</t>
  </si>
  <si>
    <t xml:space="preserve">Associatif </t>
  </si>
  <si>
    <t>solea@addsea.fr</t>
  </si>
  <si>
    <t>03 01 83 03 32</t>
  </si>
  <si>
    <t>addsea.fr</t>
  </si>
  <si>
    <t>Sur calendrier (vendredi matin)</t>
  </si>
  <si>
    <t>11 rue d'Alsace</t>
  </si>
  <si>
    <t>Lundi (9h/12h - 13h/16h30), Mardi (9h/12h - 13h/17h), Mercredi (9h/12h - 13h/17h), Jeudi (9h/12h - 13h/17h), Vendredi (14h30/16h)</t>
  </si>
  <si>
    <t>- Réalisation de consultations avancées sur Pontarlier, Morteau, Quingey, Chalezeule, Baumes les Dames et Besançon multi-sites ; 
- présence d'une CJC.</t>
  </si>
  <si>
    <t>2 place René Payot</t>
  </si>
  <si>
    <t>CSAPA SOLEA</t>
  </si>
  <si>
    <t>0381830332</t>
  </si>
  <si>
    <t xml:space="preserve">solea.addsea.fr </t>
  </si>
  <si>
    <t>9h à 16h, fermeture les mardi après midi</t>
  </si>
  <si>
    <t>- Réalisation de consultations avancées sur Ornans, Valdahon, l'Isle-sur-le-Doubs ;
- Dispositif de soin résidentiel sous forme d'appartement relais à Besançon ;
- intervention en milieu festif ;
- Intervention en milieu pénitentiaire à la maison d'arrêt de Besançon et en centre de semi liberté ;
- mise à disposition de matériel de consommation à moindre risque ;
- dispositifs anti-overdose ;
- porteur d'une CJC.</t>
  </si>
  <si>
    <t>SAAS, 10 rue Champrond</t>
  </si>
  <si>
    <t>03.81.83.22.83</t>
  </si>
  <si>
    <t>Vendredi de 9h à 11h30</t>
  </si>
  <si>
    <t>Boutique Jeanne Antide, 3 rue Champrond</t>
  </si>
  <si>
    <t>03.81.83.22.84</t>
  </si>
  <si>
    <t>Mardi de 10h30 à 11h30</t>
  </si>
  <si>
    <t>Résidence l'AGORA, 2 rue Pierre Mesnage</t>
  </si>
  <si>
    <t>03.81.83.22.80</t>
  </si>
  <si>
    <t>Mercredi de 10h à 12h</t>
  </si>
  <si>
    <t>Maison d'arrêt de Besançon, rue Pergaud</t>
  </si>
  <si>
    <t>03.81.83.22.81</t>
  </si>
  <si>
    <t xml:space="preserve">Lundi et jeudi après-midi / mercredi matin </t>
  </si>
  <si>
    <t>Résidence sociale ADOMA, 12 rue Saint Martin</t>
  </si>
  <si>
    <t>03.81.83.22.82</t>
  </si>
  <si>
    <t>Un jeudi sur deux de 10h à 11h</t>
  </si>
  <si>
    <t>CHU Site St Jacques, 2 places St Jacques, Besançon, Bâtiment St Elisabeth</t>
  </si>
  <si>
    <t>Centre Hospitalier Universitaire de Besançon</t>
  </si>
  <si>
    <t>hdjaddicto-secret@chu-besancon.fr</t>
  </si>
  <si>
    <t>03.81.21.82.03 / Fax: 03.81.21.82.09</t>
  </si>
  <si>
    <t>CHU - Psychiatrie de l'adulte (chu-besancon.fr)</t>
  </si>
  <si>
    <t>Horaire 9h-16h</t>
  </si>
  <si>
    <t>Adressage par un médecin après avoir complété la feuille d’adressage accessible sur le site du CHU 
Toutes addictions avec ou sans substances 
Objectifs
&gt; Maintien de l’abstinence
&gt; Sevrage simple
&gt; Réduction des consommation
&gt; Evaluation pathologie duelle 
Consultation de préadmission obligatoire
Soins organisé autour d’ateliers de groupe : Atelier psychosocial / éducation thérapeutique au patient / neuropsychologique / relaxation / nutrition / activité physique adapté / thérapie cognitivo-comportementale
Durée de 2 semaines à 3 mois maximum 
Il y a également des consultations addiction comportementales :
-	addictologie-secret@chu-besancon.fr 
-	CHU - Psychiatrie de l'adulte (chu-besancon.fr)
-	secrétariat : 03.81.21.90.08 / Fax: 03.81.21.90.28</t>
  </si>
  <si>
    <t>EMA (équipe mobile en addictologie)</t>
  </si>
  <si>
    <t>ema.doubs@gmail.com</t>
  </si>
  <si>
    <t>lundi mardi après midi (14h 17h) et mercredi et jeudi toute la journée</t>
  </si>
  <si>
    <t xml:space="preserve">évaluation orientation, maraud travail de rue, visite à domicile et accompagnement physique vers le droit commun et les structure en addictologie, évaluation sociale psychologique et infirmière/orientation </t>
  </si>
  <si>
    <t>Bletterans</t>
  </si>
  <si>
    <t>39140</t>
  </si>
  <si>
    <t>7 rue de la Demi Lune</t>
  </si>
  <si>
    <t>ADLCA</t>
  </si>
  <si>
    <t>contact@adlca.fr</t>
  </si>
  <si>
    <t>03 84 48 17 21</t>
  </si>
  <si>
    <t>www.adlca.fr</t>
  </si>
  <si>
    <t>- interventions auprès d'un public majeur ; 
- lits installés au sein d'une même unité ; 
- unité MCO.</t>
  </si>
  <si>
    <t>SMRA</t>
  </si>
  <si>
    <t xml:space="preserve">- intervention auprès d'un public majeur ; </t>
  </si>
  <si>
    <t>Chagny</t>
  </si>
  <si>
    <t>CCAS de Chagny, 4 rue de Beaune</t>
  </si>
  <si>
    <t>CSAPA KAIRN71 - SAUVEGARDE71 - consultations avancées</t>
  </si>
  <si>
    <t>kairn71@sauvegarde71.fr</t>
  </si>
  <si>
    <t>0385909061</t>
  </si>
  <si>
    <t>www.sauvegarde71.fr</t>
  </si>
  <si>
    <t>jeudi de 14h-16h30</t>
  </si>
  <si>
    <t>Chalezeule</t>
  </si>
  <si>
    <t>CHRS Javel, 2 grande rue</t>
  </si>
  <si>
    <t>03.81.83.22.78</t>
  </si>
  <si>
    <t>Jeudi de 16h30 à 18h30</t>
  </si>
  <si>
    <t>Châlon-sur-Saône</t>
  </si>
  <si>
    <t>71100</t>
  </si>
  <si>
    <t>41 Av. Boucicaut</t>
  </si>
  <si>
    <t>CAARUD 16 Kay - Sauvegarde 71</t>
  </si>
  <si>
    <t>caarud16kay@sauvegarde71.fr</t>
  </si>
  <si>
    <t>0954654665</t>
  </si>
  <si>
    <t>lundi = 13h30-17h30
jeudi = 14h-19h
vendredi 11h-15h30</t>
  </si>
  <si>
    <t xml:space="preserve">- unité mobile pouvant servir de lieu d'accueil (déplacement sur tout le département de Saône et Loire) ; 
- programme d'échange de seringues ;
- intervention en maraude ; 
- intervention en milieu festif. </t>
  </si>
  <si>
    <t>1 Av. Georges Pompidou</t>
  </si>
  <si>
    <t>CSAPA KAIRN71 - SAUVEGARDE71</t>
  </si>
  <si>
    <t>0385909060</t>
  </si>
  <si>
    <t>Mercredi de 14h à 19h</t>
  </si>
  <si>
    <t>ADDICTOLOGIE
Centre Hospitalier Chalon sur Saône William Morey 
4, rue Capitaine Drillien - CS80120</t>
  </si>
  <si>
    <t>Centre Hospitalier Chalon-sur-Saône</t>
  </si>
  <si>
    <t>Secretariat.urgences@ch-chalon71.fr</t>
  </si>
  <si>
    <t>03.85.91.00.85</t>
  </si>
  <si>
    <t>9 h -12h et 14h 17h
Du lundi au vendredi</t>
  </si>
  <si>
    <t>lundi = 9h-12h30 / 14h-18h
mardi = 11h-12h30 / 15h30-18h
mercredi = 9h-12h / 14h-18h
jeudi = 9h-12h30 / 14h-18h
vendredi = 9h-12h30 / 14h-17h</t>
  </si>
  <si>
    <t>- Réalisation de consultations avancées sur Chagny, Chalon-sur-Saône, Louhans;
- dispositifs de soins résidentiels sous forme d'appartement thérapeutiques sur Chalon-sur-Saône (15 rue Philibert GUIDE 71100 Chalon-sur-Saône) ;
- intervention en milieu festif ;
- intervention en milieu pénitentiaire au Centre pénitentiaire de Varennes le Grand ;
- mise à disposition de matériel de consommation à moindre risque ;
- proposition de test rapide d'orientation diagnostic (TROD) ; 
- dispositifs anti-overdose à disposition ; 
- présence d'une CJC.</t>
  </si>
  <si>
    <t>Centre Hospitalier Chalon sur Saône William Morey 
4, rue Capitaine Drillien, Dans un seul service</t>
  </si>
  <si>
    <t>Tél. 03.85.91.00.85</t>
  </si>
  <si>
    <t>- intervention auprès de public majeur ; 
- intervention auprès des SAU et UHCD</t>
  </si>
  <si>
    <t>Champagnole</t>
  </si>
  <si>
    <t>89 rue Casimir Blondeau, 39300 Champagnole</t>
  </si>
  <si>
    <t>champagnole@adlca.fr</t>
  </si>
  <si>
    <t>0970501350</t>
  </si>
  <si>
    <t xml:space="preserve"> https://csapa-adlca.fr</t>
  </si>
  <si>
    <t>Champigny sur Yonne</t>
  </si>
  <si>
    <t>Route départementale 70</t>
  </si>
  <si>
    <t>Clinique Ker Yonnec</t>
  </si>
  <si>
    <t>Privé à but lucratif</t>
  </si>
  <si>
    <t xml:space="preserve"> accueil@keryonnec.com</t>
  </si>
  <si>
    <t>03 86 66 66 66</t>
  </si>
  <si>
    <t>https://keryonnec.com/</t>
  </si>
  <si>
    <t>Prise en charge de personnes majeures 
Les lits d'hospitalisation pour sevrage simple sont difféminés dans différentes unités hospitalières
Séjour en hospitalisation complète
 Suivi individuel : RPIB et entretien motivationnel
Suivi groupal: éducation thérapeutique et psychoéducation 
 Accompagnement médical, infirmier, psychologue et diététique vers le sevrage tabagique.</t>
  </si>
  <si>
    <t xml:space="preserve">03 86 66 66 66 </t>
  </si>
  <si>
    <t>Lundi 13h45 / 16h30</t>
  </si>
  <si>
    <t>Parcours d'Accompagnement au Sevrage Tabagique sur 8 séances</t>
  </si>
  <si>
    <t>Nièvre (58)</t>
  </si>
  <si>
    <t>Champlemy</t>
  </si>
  <si>
    <t>58210</t>
  </si>
  <si>
    <t>Centre médical de la Vènerie, Lieu Dit La Vènerie</t>
  </si>
  <si>
    <t>VP SANTE</t>
  </si>
  <si>
    <t>soins-admissions@lavenerie.fr</t>
  </si>
  <si>
    <t>03 86 69 50 00</t>
  </si>
  <si>
    <t xml:space="preserve">du lundi au vendredi de 9h00  à 17h30 </t>
  </si>
  <si>
    <t>Château-Chinon</t>
  </si>
  <si>
    <t>Maison Médicale, 38 rue Jean Marie Thévenin</t>
  </si>
  <si>
    <t>BFC58@Addictions-france.org</t>
  </si>
  <si>
    <t>04 86 61 56 89</t>
  </si>
  <si>
    <t>Tous les mercredis de 8h30 à 12h30 et de 13h30 à 17h30</t>
  </si>
  <si>
    <t>Châtillon-Sur-Seine</t>
  </si>
  <si>
    <t>Maison de santé- rue Claude Petiet 21400 Châtillon sur Seine</t>
  </si>
  <si>
    <t>Mardi, mercredi, jeudi : 10h - 16h</t>
  </si>
  <si>
    <t>Lycée Désiré Nisard,19 rue de Seine 21400 Châtillon sur Seine</t>
  </si>
  <si>
    <t>Mardi : 10h 12h - 12h30 14h30</t>
  </si>
  <si>
    <t>Lycée La Barotte, route de Langres 21400 Châtillon sur Seine</t>
  </si>
  <si>
    <t>Maison de santé, rue Claude Petiet 21400 Châtillon sur Seine</t>
  </si>
  <si>
    <t>Centre hospitalier, centre de périnatalité, 2 Rue Claude Petiet, 21400 Châtillon sur Seine</t>
  </si>
  <si>
    <t xml:space="preserve">Mardi : 10h-12h - 12h30-16h </t>
  </si>
  <si>
    <t>Coallia pension de famille 6 promenade de la charme 21400 Châtillon sur Seine</t>
  </si>
  <si>
    <t>1er jeudi matin de chaque mois, 1/2 journée par mois (mardi matin mois impairs ou mercredi matin mois pairs)</t>
  </si>
  <si>
    <t>Clamecy</t>
  </si>
  <si>
    <t>Centre de Périnatalité de Proximité de Clamecy, 14 Rte de Beaugy</t>
  </si>
  <si>
    <t>CSAPA - Association Addictions France - consultations avancées - Centre de Périnatalité de Proximité de Clamecy</t>
  </si>
  <si>
    <t xml:space="preserve"> 03 86 61 56 89 </t>
  </si>
  <si>
    <t>Le lundi, mardi, jeudi de 9h00 à 17h00 ; le mercredi de 9h00 à 18h00 ;le vendredi de 9h00 à 16h30.</t>
  </si>
  <si>
    <t>Cosne-Cours-Sur-Loire</t>
  </si>
  <si>
    <t>Centre Hospitalier de Cosne-Cours-sur-Loire
96, rue Maréchal Leclerc</t>
  </si>
  <si>
    <t xml:space="preserve">CSAPA - Association Addictions France - consultations avancées - Centre de Périnatalité de Proximité de Cosne sur Loire </t>
  </si>
  <si>
    <t>secretaire.cpp@hopital-cosne.fr</t>
  </si>
  <si>
    <t>Ouvert du lundi au vendredi
De 8h30 à 12h30 et de 13h30 à 17h30</t>
  </si>
  <si>
    <t>Cousance</t>
  </si>
  <si>
    <t>60 grande rue</t>
  </si>
  <si>
    <t>CSAPA de l'ADLCA - consultations avancées</t>
  </si>
  <si>
    <t>lons@adlca.fr</t>
  </si>
  <si>
    <t>https://csapa-adlca.fr/</t>
  </si>
  <si>
    <t>mardi et vendredi matin de 9h à 12h30</t>
  </si>
  <si>
    <t>Decize</t>
  </si>
  <si>
    <t>58300</t>
  </si>
  <si>
    <t>Centre Hospitalier 74 Route de Moulins</t>
  </si>
  <si>
    <t>CENTRE HOSPITALIER  DECIZE</t>
  </si>
  <si>
    <t>chde.ual@ght58.fr</t>
  </si>
  <si>
    <t>03 86 77 77 32</t>
  </si>
  <si>
    <t>www.ghtnievre.fr</t>
  </si>
  <si>
    <t>Du lundi au vendredi de 9h à  17 h</t>
  </si>
  <si>
    <t>Centre de Périnatalité de Proximité de Decize, 74 Route de Moulins, BP 20065</t>
  </si>
  <si>
    <t xml:space="preserve">CSAPA - Association Addictions France - consultations avancées - Centre de Périnatalité de Proximité de Decize </t>
  </si>
  <si>
    <t>Du lundi au vendredi de 9h30 à 13h00 et de 14h30 à 17h00</t>
  </si>
  <si>
    <t>Centre Hospitalier 74 Route de Moulins, Dans plusieurs services</t>
  </si>
  <si>
    <t>- intervention auprès de public majeur ; 
- intervention dans les services de médecine - urgences - Centre de périnatalité de proximité - tous autres services demandeurs de l'établissement (SSR, surveillance continue, cardiologie, EHPAD...)</t>
  </si>
  <si>
    <t>Centre hospitalier - service de médecine D - 74 Route de Moulins</t>
  </si>
  <si>
    <t>ual@ch-decize.fr</t>
  </si>
  <si>
    <t>- intervention auprès d'un public majeur ; 
- les lits sont intégrés dans le service de médecine à orientation gastroentérologique ; 
- unité de médecine D</t>
  </si>
  <si>
    <t>Delle</t>
  </si>
  <si>
    <t>Comité Inter-Entreprise
2 Rue Eugène Claret</t>
  </si>
  <si>
    <t>CSAPA Le Relais Equinoxe - Association d'Hygiène Sociale de Franche Comté - consultations avancées</t>
  </si>
  <si>
    <t>03-84-21-76-02</t>
  </si>
  <si>
    <t>09H – 16H un jeudi sur deux</t>
  </si>
  <si>
    <t>Dijon</t>
  </si>
  <si>
    <t xml:space="preserve">31 rue Marceau </t>
  </si>
  <si>
    <t>Equipe mobile SMRA</t>
  </si>
  <si>
    <t xml:space="preserve">SMRA Renouveau </t>
  </si>
  <si>
    <t>cssr@renouveau-asso.fr</t>
  </si>
  <si>
    <t>03 45 34 16 96.</t>
  </si>
  <si>
    <t>https://renouveau-asso.com</t>
  </si>
  <si>
    <t>Du Lundi au vendredi de 9h  à 12h et de 13h30 à 17h30</t>
  </si>
  <si>
    <t>Intervention à domicile pour sécurisation du parcours  du patient (Amont et/ou aval)
Modalité d'intervention : suivant un parcours d'intervention</t>
  </si>
  <si>
    <t>21000</t>
  </si>
  <si>
    <t>9 Rue Févret</t>
  </si>
  <si>
    <t>CAARUD de réduction des risques et des dommages à distance</t>
  </si>
  <si>
    <t>Caarud le SPOT - SEDAP</t>
  </si>
  <si>
    <t>caarud@addictions-sedap.fr</t>
  </si>
  <si>
    <t>0688223918</t>
  </si>
  <si>
    <t>www.addictions-sedap.fr</t>
  </si>
  <si>
    <r>
      <t xml:space="preserve">&gt; CAARUD : Lundi : de 10h30 à 14h ( accueil réservé aux femmes ) et de 14h à 17h00 ) ( Accueil mixte ) 
Mercredi : 10h30 à 17h
&gt; Intervention au </t>
    </r>
    <r>
      <rPr>
        <u/>
        <sz val="11"/>
        <rFont val="Calibri"/>
        <family val="2"/>
        <scheme val="minor"/>
      </rPr>
      <t>CSAPA Belem</t>
    </r>
    <r>
      <rPr>
        <sz val="11"/>
        <rFont val="Calibri"/>
        <family val="2"/>
        <scheme val="minor"/>
      </rPr>
      <t xml:space="preserve"> : à la maison d'arrêt de DIJON deux mardis par mois de 14h à 16h
&gt; Permanence devant le </t>
    </r>
    <r>
      <rPr>
        <u/>
        <sz val="11"/>
        <rFont val="Calibri"/>
        <family val="2"/>
        <scheme val="minor"/>
      </rPr>
      <t>CHRS Sadi Carno</t>
    </r>
    <r>
      <rPr>
        <sz val="11"/>
        <rFont val="Calibri"/>
        <family val="2"/>
        <scheme val="minor"/>
      </rPr>
      <t xml:space="preserve">t deux mardis par mois de 16h30 à 18h30 avec le camping-car
&gt; Permanence au </t>
    </r>
    <r>
      <rPr>
        <u/>
        <sz val="11"/>
        <rFont val="Calibri"/>
        <family val="2"/>
        <scheme val="minor"/>
      </rPr>
      <t>CHRS Machureau</t>
    </r>
    <r>
      <rPr>
        <sz val="11"/>
        <rFont val="Calibri"/>
        <family val="2"/>
        <scheme val="minor"/>
      </rPr>
      <t xml:space="preserve"> deux vendredis par mois de 14h à 16h</t>
    </r>
  </si>
  <si>
    <t xml:space="preserve">- unité mobile pouvant servir de lieu d'accueil (déplacement en Côte-d-Or) ; 
- programme d'échange de seringues ;
- intervention en maraude ; 
- intervention en milieu festif ;
- intervention en milieu pénitentier à la Maison d'arrêt de Dijon. </t>
  </si>
  <si>
    <t>6, Avenue Jean Bertin</t>
  </si>
  <si>
    <t>tivoli@addictions-sedap.fr</t>
  </si>
  <si>
    <t>0811466280</t>
  </si>
  <si>
    <t>Tous les jours</t>
  </si>
  <si>
    <t xml:space="preserve">- Accueil des familles ; 
- Orientation sur rendez-vous ;
- CJC accessible à la famille et l'entourage ; </t>
  </si>
  <si>
    <t>Centre Georges François Leclerc
1 Rue Professeur Marion</t>
  </si>
  <si>
    <t>Centre Georges François Leclerc</t>
  </si>
  <si>
    <t>Secretariat-Consultation@cgfl.fr</t>
  </si>
  <si>
    <t>03 80 73 77 40</t>
  </si>
  <si>
    <t>https://www.cgfl.fr/?s=tabacologie</t>
  </si>
  <si>
    <t>Lundi après-midi de 15h à 17h
Mardi matin de 9h à 12h</t>
  </si>
  <si>
    <t>Hôpital François Mitterrand
CHU de Dijon
Bâtiment Marion (entrée N°5)
14 Rue Paul Gaffarel</t>
  </si>
  <si>
    <t>CHU Dijon</t>
  </si>
  <si>
    <t>addictologie@chu-dijon.fr</t>
  </si>
  <si>
    <t>03.80.29.35.24</t>
  </si>
  <si>
    <t>https://www.chu-dijon.fr/</t>
  </si>
  <si>
    <t>Lundi-Vendredi, 9h-17h</t>
  </si>
  <si>
    <t xml:space="preserve">1 rue Jules Toutain </t>
  </si>
  <si>
    <t>CSAPA La Santoline, SEDAP</t>
  </si>
  <si>
    <t>santoline@addictions-sedap.fr</t>
  </si>
  <si>
    <t>03 80 65 20 47</t>
  </si>
  <si>
    <t>Ouvert 330 jours par an</t>
  </si>
  <si>
    <t>CSAPA avec hébergement accueillant des personnes majeures, des couples. Dispositif pour femmes enceintes, parents isolés avec enfants. Accueil en aménagement de peine (placement extérieur). Dispositif d'appartements thérapeutiques.</t>
  </si>
  <si>
    <t>7 RUE FEVRET</t>
  </si>
  <si>
    <t>Tous les jours : 09h-12h - 14h-18h</t>
  </si>
  <si>
    <t xml:space="preserve">- réalisation de consultations avancées (Montbard) ;
- Dispositif de soin résidentiel sous forme de centre thérapeutique résidentiel sur Dijon (1 rue Toutain) ;
- Proposition de tests rapide d'orientation diagnostic (TROD) ;
- Dispositif anti-overdose ;
- Présence d'une CJC. </t>
  </si>
  <si>
    <t>CHRS Sadi Carnot 2 ter rue Sadi Carnot 21000 Dijon</t>
  </si>
  <si>
    <t>CSAPA (Consultations avancées)</t>
  </si>
  <si>
    <t>Mardi : 9h 11h30</t>
  </si>
  <si>
    <t>consultations avancées</t>
  </si>
  <si>
    <t>CHU Dijon, 14 rue Paul Gaffarel</t>
  </si>
  <si>
    <t>0380293524</t>
  </si>
  <si>
    <t>- intervention auprès de public majeur ; 
- L'ELSA intervient dans l'ensemble des services hospitaliers du CHU de Dijon</t>
  </si>
  <si>
    <t>1 BVD Chamoine Kir</t>
  </si>
  <si>
    <t>CH La Chartreuse</t>
  </si>
  <si>
    <t>Eole@chlcdijon.fr</t>
  </si>
  <si>
    <t>0380424949</t>
  </si>
  <si>
    <t>www.ch-lachartreuse-dijon-cotedor.fr</t>
  </si>
  <si>
    <t>- interventions auprès d'un public majeur ; 
- lits installés au sein d'une même unité ; 
- une unité EOLE 14 lits de sevrage complexe, 4 lits de sevrage simple).</t>
  </si>
  <si>
    <t>03.80.28.15.28</t>
  </si>
  <si>
    <t>- interventions auprès d'un public majeur ; 
- lits installés au sein d'une même unité ; 
- unité de service hospitalo-universitaire d'addictologie</t>
  </si>
  <si>
    <t>31 rue marceau</t>
  </si>
  <si>
    <t>Association du Renouveau</t>
  </si>
  <si>
    <t>0380288551</t>
  </si>
  <si>
    <t>Intervention auprès public majeur ; 
Intervention auprès d'un public majeur. Durée: quelque semaines ; 
Centre Marceau : en hospitalisation complète ou en hôpital de jour (séjours séquentiels possibles) 
SOLAL : 2ième unité dédiée aux troubles cognitifs complexes liés aux addictions  
Equipe mobile addicto: intervention au domicile (amont et aval)
Consultations externes possibles</t>
  </si>
  <si>
    <t>BVD Chamoine Kir</t>
  </si>
  <si>
    <t>0380295437</t>
  </si>
  <si>
    <t>Lundi-vendredi, 9h-16h</t>
  </si>
  <si>
    <t>Maison d'Arrêt de Dijon
72 bis rue d'Auxonne</t>
  </si>
  <si>
    <t xml:space="preserve">CSAPA </t>
  </si>
  <si>
    <t>CSAPA Le Bélem CH La Chartreuse</t>
  </si>
  <si>
    <t xml:space="preserve">https://www.ch-lachartreuse-dijon-cotedor.fr/ </t>
  </si>
  <si>
    <t>03 80 67 08 33</t>
  </si>
  <si>
    <t>csapa@chlcdijon.fr</t>
  </si>
  <si>
    <t>Lundi au vendredi de 9H à 17h30</t>
  </si>
  <si>
    <t>CSAPA à vocation exclusivement pénitentiaire et sommes désignés par l'ARS comme CSAPA référent en milieu pénitentiaire</t>
  </si>
  <si>
    <t>du lundi au vendredi après-midi</t>
  </si>
  <si>
    <t>Dole</t>
  </si>
  <si>
    <t>39100</t>
  </si>
  <si>
    <t>23 Avenue Pompidou 39100 DOLE</t>
  </si>
  <si>
    <t>CSAPA Briand Dole - Centre Hospitalier Spécialisé du Jura Saint-Ylie</t>
  </si>
  <si>
    <t>addicto.dole@chsjura.fr</t>
  </si>
  <si>
    <t>03.84.82.83.85</t>
  </si>
  <si>
    <r>
      <t xml:space="preserve">Mercredi : 8h30 à 17h
</t>
    </r>
    <r>
      <rPr>
        <u/>
        <sz val="11"/>
        <rFont val="Calibri"/>
        <family val="2"/>
        <scheme val="minor"/>
      </rPr>
      <t>Permanence à la Maison des Adolescents Jur'Ado</t>
    </r>
    <r>
      <rPr>
        <sz val="11"/>
        <rFont val="Calibri"/>
        <family val="2"/>
        <scheme val="minor"/>
      </rPr>
      <t xml:space="preserve"> : tous les mercredis de 14h à 15h30</t>
    </r>
  </si>
  <si>
    <t xml:space="preserve">- Accueil des familles ; 
- Orientation avec et sans rendez-vous ;
- CJC accessible à la famille et l'entourage ; 
- locaux identiques à ceux du CSAPA. </t>
  </si>
  <si>
    <t>CONSULTATION DE TABACOLOGIE, 73 Av. Léon Jouhaux
UTEP
CENTRE LOUIS PASTEUR</t>
  </si>
  <si>
    <t>CENTRE HOSPITALIER LOUIS PASTEUR</t>
  </si>
  <si>
    <t xml:space="preserve">UTEP.Secretariat@ch-dole.fr / UTEP.Infirmiere@ch-dole.fr </t>
  </si>
  <si>
    <t>03 84 79 68 55</t>
  </si>
  <si>
    <t>https://www.ch-dole.fr</t>
  </si>
  <si>
    <t>Lundi au vendredi : 9h à 17h possible sur le CSAPA</t>
  </si>
  <si>
    <t>Maison des Associations, 9 rue Aristide Briand</t>
  </si>
  <si>
    <t>Du lundi au vendredi de 8h30 à 17h00</t>
  </si>
  <si>
    <t>- dispositifs de soin résidentiel sous forme d'appartement thérapeutique sur Dôle (Avenue Duhamel) ;
- intervention en milieu festif ; 
- mise à disposition de matériel de consommation à moindre risque ;
- présence d'une CJC</t>
  </si>
  <si>
    <t>CHS Saint-Ylie Jura, 120 route nationale, Dans plusieurs services</t>
  </si>
  <si>
    <t>CHS Saint-Ylie Jura</t>
  </si>
  <si>
    <t>addicto@chsjura.fr</t>
  </si>
  <si>
    <t>06 43 31 18 99</t>
  </si>
  <si>
    <t>- intervention auprès de public majeur ; 
- intervention dans les services du CHS, services du CH Louis Pasteur de Dole Jura</t>
  </si>
  <si>
    <t>SERVICE DE NEUROLOGIE
3ème ETAGE
CH LOUIS PASTEUR</t>
  </si>
  <si>
    <t>Centre hospitalier Louis Pasteur</t>
  </si>
  <si>
    <t>communication@ch-dole.fr</t>
  </si>
  <si>
    <t>03 84 79 80 65</t>
  </si>
  <si>
    <t>- intervention auprès d'un public majeur ; 
- unité neurologique</t>
  </si>
  <si>
    <t>CHS Saint-Ylie Jura
URA "Les Hirondelles"
120 Route Nationale</t>
  </si>
  <si>
    <t>ura.addictologie@chsjura.fr</t>
  </si>
  <si>
    <t>03 84 82 81 44</t>
  </si>
  <si>
    <t>www.chsjura.fr</t>
  </si>
  <si>
    <t>- interventions auprès d'un public majeur ; 
- lits installés au sein d'une même unité ; 
- unité URA "Les Hirondelles"</t>
  </si>
  <si>
    <t>CHS Saint-Ylie Jura
URA "Les Hirondelles"
120 route Nationale</t>
  </si>
  <si>
    <t xml:space="preserve">Sevrage simple </t>
  </si>
  <si>
    <t>Fontaine Les Dijon</t>
  </si>
  <si>
    <t>Dispositif grands marginaux, rue Sully 21000 Dijon</t>
  </si>
  <si>
    <t>1 Vendredi sur 2: 9h30  11h30</t>
  </si>
  <si>
    <t>Immeuble Stratège 1 rue du Dauphiné 21121 Fontaine les Dijon</t>
  </si>
  <si>
    <t xml:space="preserve">Lun au ve : 9h 12h - 14h 17h
</t>
  </si>
  <si>
    <t>Haute-Saône (70)</t>
  </si>
  <si>
    <t>Gray</t>
  </si>
  <si>
    <t>Centre hospitalier - 5, rue de l'Arsenal</t>
  </si>
  <si>
    <t>Association Addictions France en Haute-Saône</t>
  </si>
  <si>
    <t>cspsa.gray@addictions-france.org</t>
  </si>
  <si>
    <t>03-84-64-64-62</t>
  </si>
  <si>
    <t>https://addictions-france.org</t>
  </si>
  <si>
    <t>Vendredi 9h12h30 et 13h 16h</t>
  </si>
  <si>
    <t>MDA de Gray - 10, rue des Casernes</t>
  </si>
  <si>
    <t>Association Addictions France en Haute-Saône - consultations avancées</t>
  </si>
  <si>
    <t>bfc70@addictions-france.org</t>
  </si>
  <si>
    <t>03-84-76-75-79</t>
  </si>
  <si>
    <t>Mercredi 14h-18h</t>
  </si>
  <si>
    <t>Centre de Périnatalité de Proximité de Gray  5 r Arsenal</t>
  </si>
  <si>
    <t xml:space="preserve">CSAPA - Association Addictions France - consultations avancées - Centre de Périnatalité de Proximité de Gray </t>
  </si>
  <si>
    <t>csapa.gray@addictions-france.org</t>
  </si>
  <si>
    <t xml:space="preserve"> https://addictions-france.org</t>
  </si>
  <si>
    <t>Lundi 13h30-17h sauf 1er lundi du mois : 9h-12h30 - Jeudi 13h30-17h</t>
  </si>
  <si>
    <t xml:space="preserve">Gray </t>
  </si>
  <si>
    <t>Antenne de Gray  – Centre Hospitalier – 5, rue de l’Arsenal</t>
  </si>
  <si>
    <t xml:space="preserve"> 03-84-64-64-62</t>
  </si>
  <si>
    <t xml:space="preserve">Jeudi 12h30-16h </t>
  </si>
  <si>
    <t xml:space="preserve"> Locaux identiques à ceux du CSAPA ; Orientation sur rendez-vous ; accessible à la famille et l'entourage</t>
  </si>
  <si>
    <t>Héricourt</t>
  </si>
  <si>
    <t>25 avenue Léon Jouhaux, BP 6</t>
  </si>
  <si>
    <t>03 84 36 67 07</t>
  </si>
  <si>
    <t>Lundi au jeudi de 9h à 16h 
Vendredi : 9h-13h30 et 14h30-16h</t>
  </si>
  <si>
    <t>Association Hospitalière de Bourgogne-Franche-Comté, 9 rue martin Niemöller</t>
  </si>
  <si>
    <t xml:space="preserve">03 81 90 76 10 </t>
  </si>
  <si>
    <t>Imphy</t>
  </si>
  <si>
    <t>CHRS -8 Rue Jean Sounié</t>
  </si>
  <si>
    <t>CSAPA - Association Addictions France- consultations avancées</t>
  </si>
  <si>
    <t>4ème vendredi de 9H00 A 12H00</t>
  </si>
  <si>
    <t>Is-Sur-Tille</t>
  </si>
  <si>
    <t>20, place Général Leclerc</t>
  </si>
  <si>
    <t>seine-tilles@addictions-sedap.fr</t>
  </si>
  <si>
    <t>Les lundis, mercredis 9h-12/14h-18 et vendredis 14h-18h</t>
  </si>
  <si>
    <t xml:space="preserve">    </t>
  </si>
  <si>
    <t>Joigny</t>
  </si>
  <si>
    <t>89300</t>
  </si>
  <si>
    <t>CH JOIGNY 3  quai de l'hôpital</t>
  </si>
  <si>
    <t xml:space="preserve">Centre Hospitalier de Joigny pôle H </t>
  </si>
  <si>
    <t>addictologie@ch-joigny.fr</t>
  </si>
  <si>
    <t>03.86.92.33.77</t>
  </si>
  <si>
    <t>5 jours sur 7 de 8h à 16h (heure de fermeture du secrétariat d'accueil, 
Rendez-vous les week-end exceptionnellement si nécessité (routiers, travaille en 2/8)</t>
  </si>
  <si>
    <t>CH JOIGNY 3 quai de l'hôpital, Dans plusieurs services</t>
  </si>
  <si>
    <t>CENTRE HOSPITALIER DE JOIGNY POLE HOPITAL</t>
  </si>
  <si>
    <t>03.86.92.33.77 celui des Consultations Externes</t>
  </si>
  <si>
    <t>- intervention auprès de public majeur ; 
- intervention en service de médecine, service des urgences, ssr cardio-respiratoire, had, emsp, HDJ en pôle h
ussr généraliste, l séjour, moyen séjour en pôle G</t>
  </si>
  <si>
    <t>CH JOIGNY 3 quai de l'hôpital</t>
  </si>
  <si>
    <t>03 86 92 33 33</t>
  </si>
  <si>
    <t xml:space="preserve">- intervention auprès de public majeur et mineur ; 
- lits disséminés dans différentes unités hospitalières ;
- 2 unités USC, 1 lit délocalisé de médecine B, 1 lit de médecine B. </t>
  </si>
  <si>
    <t>Jussey</t>
  </si>
  <si>
    <t>CMS - Place du Champ de Foire</t>
  </si>
  <si>
    <t>csapa.vesoul@addictions-france.org</t>
  </si>
  <si>
    <t>03-84-76-75-75</t>
  </si>
  <si>
    <t>Lundi 13h30-16h30 (1 fois par mois)</t>
  </si>
  <si>
    <t>La Charité-sur-Loire</t>
  </si>
  <si>
    <t>CH Pierre Lôo
51 rue des Hôtelleries</t>
  </si>
  <si>
    <t>CH Pierre Lôo</t>
  </si>
  <si>
    <t>chpl.direction.secretariat@ght58.fr</t>
  </si>
  <si>
    <t>Le Creusot</t>
  </si>
  <si>
    <t>12 rue Pierre et Marie Curie</t>
  </si>
  <si>
    <t>csapa.lecreusot@addictions-france.org</t>
  </si>
  <si>
    <t>0385551121</t>
  </si>
  <si>
    <t>Le lundi et le jeudi de 8h30h à 12h30 et de 13h à 17h30 sur rendez-vous</t>
  </si>
  <si>
    <t xml:space="preserve">  mise à disposition de matériel de consommation à moindre risque ; présence d'une CJC</t>
  </si>
  <si>
    <t>71200</t>
  </si>
  <si>
    <t xml:space="preserve">Groupe SOS Santé. Hôpital Le Creusot 175 avenue maréchal FOCH </t>
  </si>
  <si>
    <t>Groupe SOS Santé Hôpital Le Creusot</t>
  </si>
  <si>
    <t>ghforest@hoteldieu-creusot.fr</t>
  </si>
  <si>
    <t>03.85.77.74.85</t>
  </si>
  <si>
    <t>www.hopital-lecreusot.com</t>
  </si>
  <si>
    <t>lundi au vendredi (à voir avec l'équipe ELSA)</t>
  </si>
  <si>
    <t>03.85.77.47.85 et 06.25.75.35.38</t>
  </si>
  <si>
    <t>lundi de 9h à 12h, du mardi au jeudi de 9h à 17h</t>
  </si>
  <si>
    <t>- intervention auprès de public majeur ; 
- interventions dans toutes les unités de soins du site de rattachement et dans les structures avec lesquelles il existe un partenariat</t>
  </si>
  <si>
    <t>L'Isle Sur Le Doubs</t>
  </si>
  <si>
    <t>54 Rue du Magny</t>
  </si>
  <si>
    <t>pole-addictologie.nfc@afs-fc.fr</t>
  </si>
  <si>
    <t>03.81.99.37.04</t>
  </si>
  <si>
    <t>1 mardi sur 2 de 10h à 16h</t>
  </si>
  <si>
    <t>Isle Santé 54 Rue du Magny</t>
  </si>
  <si>
    <t>CSAPA SOLEA - ADDSEA Bourgogne Franche Comté - consultations avancées</t>
  </si>
  <si>
    <t>03 81 83 03 32</t>
  </si>
  <si>
    <t>semaine impaire de 9h à 17h</t>
  </si>
  <si>
    <t>Longvic</t>
  </si>
  <si>
    <t>CMP 2bis route de Dijon 21600 Longvic</t>
  </si>
  <si>
    <t>vendredi : 9h-13h 13h30-17h</t>
  </si>
  <si>
    <t>Lons Le Saunier</t>
  </si>
  <si>
    <t>39000</t>
  </si>
  <si>
    <t>8 rue Jules Bury</t>
  </si>
  <si>
    <t>CAARUD Oppelia Passerelle 39</t>
  </si>
  <si>
    <t>contactp39@oppelia.fr</t>
  </si>
  <si>
    <t>03 84 24 66 83</t>
  </si>
  <si>
    <t>https://www.oppelia.fr/etablissement/passerelle-39-lons-le-saunier/</t>
  </si>
  <si>
    <t>Accueil fixe: mardi de 13h30 à 17h00, mercredi de 8h00 à 12h30, jeudi de 16h30 à 20h00</t>
  </si>
  <si>
    <t>- Permanences d'accueil ou accueil sur rendez-vous
- unité mobile pouvant servir de lieu d'accueil (déplacements sur tout le département du Jura) ; 
- programme d'échange de seringues ;
- intervention en maraude ; 
- mise à disposition de matériel de consommation à moindre risque ;
- proposition de test rapide d'orientation diagnostic (TROD) ; 
- dispositif TAPAJ
- intervention en milieu festif ;
- intervention en milieu pénitentier à la Maison d'arrêt de Lons-le-Saunier.</t>
  </si>
  <si>
    <t>Info jeunesse Jura 17 place Perraud, 39000 Lons Le Saunier</t>
  </si>
  <si>
    <t xml:space="preserve"> lons@adlca.fr </t>
  </si>
  <si>
    <t>0384240571</t>
  </si>
  <si>
    <t xml:space="preserve"> tous les mercredi après-midi 13h30-17h</t>
  </si>
  <si>
    <t>- Accueil des familles ; 
- Orientation sur rendez-vous ;
- CJC accessible à la famille et l'entourage ; 
-  locaux extérieurs au CSAPA</t>
  </si>
  <si>
    <t>Pavillon B, 3ème étage.
55 Rue du Dr Jean Michel</t>
  </si>
  <si>
    <t>Centre Hospitalier de Lons le Saunier</t>
  </si>
  <si>
    <t>secretariat.elsa-chjs@hopitaux-jura.fr  
ide.elsa@hopitaux-jura.fr</t>
  </si>
  <si>
    <t>03.84.35.61.27 (ide) 
03.84.35.64.68 (secrétariat)</t>
  </si>
  <si>
    <t>https://hopitaux-jura.fr/</t>
  </si>
  <si>
    <t>Tous les jours (ouvrables) plutôt l'après-midi (mais aussi le matin si urgence).</t>
  </si>
  <si>
    <t>1, Rue de Balerne</t>
  </si>
  <si>
    <t>Lundi au vendredi 8h30-17h30</t>
  </si>
  <si>
    <t>- Réalisation de consultations avancées sur Cousance et Salins-les-Bains ;
- intervention en milieu pénitentiaire à la maison d'arrêt de Lons-le-Saunier ;
- mise à disposition de matériel de consommation à moindre risque ;
- dispositifs anti-overdose à disposition ; 
- présence d'une CJC.</t>
  </si>
  <si>
    <t>15 Av. d'Offenbourg</t>
  </si>
  <si>
    <t>CSAPA Oppelia Passerelle 39</t>
  </si>
  <si>
    <t>Lundi , Mercredi: 9h00 - 18h00
Mardi: 9h00 - 20h00
jeudi : 13h30 -18h00
Vendredi: 9h00 - 17h30
Secrétariat: tous les jours de 9h00 à 12h30 et de 13h30 à 17h00 (sauf le jeudi matin)</t>
  </si>
  <si>
    <t>- suivi médico-psycho-social : accueil, entretiens, consultations ; 
- mise à disposition de matériel de consommation à moindre risque ;
- proposition de test rapide d'orientation diagnostic (TROD) ; 
- dispositifs anti-overdose à disposition ; 
- présence d'une CJC; 
- présence d'une équipe mobile.</t>
  </si>
  <si>
    <t>Centre Hospitalier de Lons le Saunier, 55 rue du Dr Jean Michel, Dans plusieurs services</t>
  </si>
  <si>
    <t>- intervention auprès de public majeur ; 
- Tous les services demandeurs (urgences, post-urgences, maternité-gynéco, réa, chirurgie, neurologie, diabéto, gériatrie, pédiatrie, cardiologie...).
NB : nous accueillons tous ceux qui en font la demande, majeurs et mineurs...</t>
  </si>
  <si>
    <t>15 avenue Offenbourg</t>
  </si>
  <si>
    <t>Equipe mobile CSAPA</t>
  </si>
  <si>
    <t xml:space="preserve">CSAPA Oppélia Passerelle 39 </t>
  </si>
  <si>
    <t>07 56 30 12 96</t>
  </si>
  <si>
    <t xml:space="preserve">https://www.oppelia.fr/structure/passerelle-39/ </t>
  </si>
  <si>
    <t xml:space="preserve">les lundis de 9h à 18h00, mardis de 9h00 à13h00 et vendredis de 9 h00 à17h 00
</t>
  </si>
  <si>
    <t>Le périmètre d’intervention est le département du Jura. L’équipe mobile peut se mobiliser à la demande des usagers ou de professionnels en lien avec des usagers principalement lorsque ceux-ci sont éloignés des dispositifs existants géographiquement ou qu’ils rencontrent des difficultés pour s’y rendre.
En dehors de ces horaires les personnes peuvent contacter le secrétariat d’Oppelia Passerelle39 au 03 84 24 66 83 qui est ouvert du lundi au vendredi de 9h00 à 17h00.</t>
  </si>
  <si>
    <t xml:space="preserve">Info jeunesse Jura 17 place Perraud / Passerelle 39, 15 avenue d'Offenbourg </t>
  </si>
  <si>
    <t>Mardi de 14h30 à 18h30 (Passerelle 39); mercredi 09h00 à 16h30 (IJJ)</t>
  </si>
  <si>
    <t xml:space="preserve">- Accueil des jeunes ;
- Accueil de la famille et l'entourage ;
- Orientation sur rendez-vous ; </t>
  </si>
  <si>
    <t>Louhans</t>
  </si>
  <si>
    <t>1 rue du Gruay</t>
  </si>
  <si>
    <t>lundi = 10h-13h / mardi = 10h-13h 13h30-17h / mercredi = 10h-13h 13h30-17h / jeudi = 10h-12h30 13h30-18h / vendredi = 10h-12h</t>
  </si>
  <si>
    <t>Lure</t>
  </si>
  <si>
    <t>37 rue Carnot</t>
  </si>
  <si>
    <t>Consultations Hospitalières externes d'addictologie (autre lieu d'intervention)</t>
  </si>
  <si>
    <t>Consultation d'addictologie et de tabacologie (Groupe Hospitalier de la Haute-Saône (GH70))</t>
  </si>
  <si>
    <t>contact@gh70.fr</t>
  </si>
  <si>
    <t>03 84 62 43 82</t>
  </si>
  <si>
    <t>https://www.gh70.fr</t>
  </si>
  <si>
    <t>9h - 17h du lundi au vendredi</t>
  </si>
  <si>
    <t>Intervention auprès de public majeurs et mineurs ainsi qu'au Groupe Hospitalier de la Haute-Saône (GH70)</t>
  </si>
  <si>
    <t>CMP - 4, rue Parmentier</t>
  </si>
  <si>
    <t>Lundi 9h-12h30</t>
  </si>
  <si>
    <t>Centre de Périnatalité de Proximité de Lure, 37 rue Carnot</t>
  </si>
  <si>
    <t xml:space="preserve">CSAPA - Association Addictions France - consultations avancées - Centre de Périnatalité de Proximité de Lure </t>
  </si>
  <si>
    <t>luref.lorenzi@chi70.fr</t>
  </si>
  <si>
    <t>03 84 62 43 57</t>
  </si>
  <si>
    <t>Le lundi, mercredi et jeudi de 08h00 à 12h00 et de 13h30 à 16h30, le mardi, vendredi de 08h30 à 16h30 au 03 84 62 43 57</t>
  </si>
  <si>
    <t>Luxeuil-Les-Bains</t>
  </si>
  <si>
    <t>Groupe Hospitalier - 2, rue Grammont</t>
  </si>
  <si>
    <t>csapa.vesoul@addicitions-france.org</t>
  </si>
  <si>
    <t>Mardi 9h-12h30/13h30-17h - Mercredi 9h-12h30 - Jeudi 9h-12h - Vendredi 9h-12h30/13h-16h30</t>
  </si>
  <si>
    <t>12 rue Grammont</t>
  </si>
  <si>
    <t>mardi matin</t>
  </si>
  <si>
    <t>MDA de Luxeuil-les-Bains - Place du 8 mai 1945</t>
  </si>
  <si>
    <t>03-84-76-75-80</t>
  </si>
  <si>
    <t>Lundi 14h-17h30</t>
  </si>
  <si>
    <t>Centre de Périnatalité de Proximité de Luxueil, 12 rue Grammont</t>
  </si>
  <si>
    <t xml:space="preserve">CSAPA - Association Addictions France - consultations avancées - Centre de Périnatalité de Proximité de Luxueil </t>
  </si>
  <si>
    <t>Du lundi au mercredi de 08h00 à 12h00 et de 13h30 à 17h00, le jeudi de 08h00 à 12h00 et de 14h00 à 18h00, le Vendredi 10h-12h30/13h30-16h</t>
  </si>
  <si>
    <t>Luxueil-les-Bains</t>
  </si>
  <si>
    <t>MDA, Place du 8 mai 1945 70300 LUXEUIL-LES-BAINS</t>
  </si>
  <si>
    <t>CSAPA Vesoul</t>
  </si>
  <si>
    <t>CJC avancées ; Orientation sur rendez-vous ; accessible à la famille et l'entourage</t>
  </si>
  <si>
    <t>Mâcon</t>
  </si>
  <si>
    <t>71000</t>
  </si>
  <si>
    <t>71 rue Jean Macé</t>
  </si>
  <si>
    <t>csapa.macon@addictions-France.org</t>
  </si>
  <si>
    <t>03.85.39.20.56</t>
  </si>
  <si>
    <t>Du Lundi au Vendredi 9h 17h</t>
  </si>
  <si>
    <t>lundi de 13 h 00 à 19 h 00 
Mardi de 9 h à 12 h 30 et de 13 h 00 à 18 h 00 
Mercredi de 9h à 12 h 30 et de 13 h 30 à 17 h 00
 Jeudi de 9 h à 12 h 30 et de 13 h 30 à 18 h 30 
Vendredi de 9 h à 12 h 30 et de 13 h 30 à 17 h 00</t>
  </si>
  <si>
    <t>mise à disposition de matériel de consommation à moindre risque ;
proposition de test rapide d'orientation diagnostic (TROD) ; dispositifs anti-overdose à disposition ; présence d'une CJC.</t>
  </si>
  <si>
    <t>Hôpital les Chanaux, Bd L Escandes</t>
  </si>
  <si>
    <t>Unité d'Hospitalisation complète: Soins simples et Soins complexes</t>
  </si>
  <si>
    <t>Centre Hospitalier les Chanaux, F-71000 Mâcon</t>
  </si>
  <si>
    <t>pamenecier@ch-macon.fr</t>
  </si>
  <si>
    <t>03 85 27 53 69</t>
  </si>
  <si>
    <t>88 rue Rambuteau</t>
  </si>
  <si>
    <t>Unité d'hospitalisation de jour Addictologique</t>
  </si>
  <si>
    <t>Actuellement inactif par défaut de ressources humaines médicales et non médicales</t>
  </si>
  <si>
    <t>Hôpital les Chanaux, Bd Louis Escande</t>
  </si>
  <si>
    <t>tabacologie@ch-macon.fr
pamenecier@ch-macon.fr</t>
  </si>
  <si>
    <t>Addictologie Polyvalente        
03 85 27 53 03  RV médecins, 03 85 27 55 63 ou 55 36  RV psychologues
Tabacologie
03 85 27 53 03 pour RV médecin
03 85 27 58 58 pour RV infirmiers
03 85 27 57 68 pour RV psychologue</t>
  </si>
  <si>
    <t>https://www.ch-macon.fr/patients-usagers/services/tabacologie/
https://www.ch-macon.fr/patients-usagers/services/addictologie/</t>
  </si>
  <si>
    <t>sur RV répartis dans la semaine entre infirmiers, médecin et psychologue  du lundi au vendredi de 9h00 à 17h00 
Pour la tabaco : sur RV répartis dans la semaine entre médecin et psychologues</t>
  </si>
  <si>
    <t xml:space="preserve">Consultations Hospitalières externes d'addictologie polyvalente et de tabacologie : Intervention auprès de tout public  </t>
  </si>
  <si>
    <t xml:space="preserve">pamenecier@ch-macon.fr 
 </t>
  </si>
  <si>
    <t>03 85 27 53 69 (ELSA Polyvalente)  
03 85 27 58 58 (ELSA Tabacologie)</t>
  </si>
  <si>
    <r>
      <rPr>
        <b/>
        <sz val="11"/>
        <color rgb="FF0070C0"/>
        <rFont val="Calibri"/>
        <family val="2"/>
        <scheme val="minor"/>
      </rPr>
      <t>ELSA polyvalente</t>
    </r>
    <r>
      <rPr>
        <u/>
        <sz val="11"/>
        <color rgb="FF0070C0"/>
        <rFont val="Calibri"/>
        <family val="2"/>
        <scheme val="minor"/>
      </rPr>
      <t xml:space="preserve"> : https://www.ch-macon.fr/patients-usagers/services/addictologie/
</t>
    </r>
    <r>
      <rPr>
        <sz val="11"/>
        <color rgb="FF0070C0"/>
        <rFont val="Calibri"/>
        <family val="2"/>
        <scheme val="minor"/>
      </rPr>
      <t>Tabacologie</t>
    </r>
    <r>
      <rPr>
        <u/>
        <sz val="11"/>
        <color rgb="FF0070C0"/>
        <rFont val="Calibri"/>
        <family val="2"/>
        <scheme val="minor"/>
      </rPr>
      <t xml:space="preserve"> : https://www.ch-macon.fr/patients-usagers/services/tabacologie/</t>
    </r>
  </si>
  <si>
    <t xml:space="preserve">sur RV répartis dans la semaine du lundi au vendredi de 9h00 à 17h00 </t>
  </si>
  <si>
    <t xml:space="preserve">ELSA Addictologie polyvalente et tabacologie 
Intervention auprès de tout public   mineurs ou majeurs  
Tous services  : urgences (SAU, UHCD), MCO (médecine chirurgie et maternité), pédiatrie, psychiatrie, SMR, USLD, Ehpad
Procédure de demande d'avis de liaison DPI : Crossway (téléphone réservé aux urgences relatives)
Procédure de rencontre des intoxications éthylique aigues au lendemain de l'ivresse dans les différents services      
Activité particulière développée en périnatalité: addictologie et tabacologie. </t>
  </si>
  <si>
    <t>Maiche</t>
  </si>
  <si>
    <t>Espace France Services 8 rue de la gare 25 120 Maîche</t>
  </si>
  <si>
    <t>maiche.addictologie@gmail.com</t>
  </si>
  <si>
    <t>07-68-47-75-41</t>
  </si>
  <si>
    <t>jeudi et vendredi de 10h à 17h</t>
  </si>
  <si>
    <t>Migennes</t>
  </si>
  <si>
    <t>CH JOIGNY 3 Quai de l'Hôpital</t>
  </si>
  <si>
    <t>ELSA Variable</t>
  </si>
  <si>
    <t>Intervention auprès de public majeurs et mineurs ainsi qu'au CH de Joigny, pôle hôpital</t>
  </si>
  <si>
    <t>CHRS Migennes - 29 Av. des Cosmonautes</t>
  </si>
  <si>
    <t>03 86 51 46 99</t>
  </si>
  <si>
    <t xml:space="preserve"> lundi matin 9h30-12h30</t>
  </si>
  <si>
    <t>89400</t>
  </si>
  <si>
    <t>AIHP-Centre Armançon
18 bis Rue Pierre SEMARD</t>
  </si>
  <si>
    <t>Association Icaunaise d'Hygiène Populaire</t>
  </si>
  <si>
    <t>accueil@centre-armancon.fr</t>
  </si>
  <si>
    <t>03 86 80 24 55</t>
  </si>
  <si>
    <t>www.centre-armancon.fr</t>
  </si>
  <si>
    <t>- intervention auprès d'un public majeur ; 
- spécialisé en alcoolodépendance</t>
  </si>
  <si>
    <t>Montbard</t>
  </si>
  <si>
    <t>12 Av. Mal de Lattre de Tassigny (Lycée professionnel)</t>
  </si>
  <si>
    <t xml:space="preserve">Tous les mardis : 9h-12h / 14h-18h </t>
  </si>
  <si>
    <t>Centre Hospitalier Haute Côte-d'Or - Site de Montbard 24 Rue Auguste Carré 21500 MONTBARD</t>
  </si>
  <si>
    <t>Centre Hospitalier - CHA (Centre Hospitalier Robert Morlevat)</t>
  </si>
  <si>
    <t>secretariat.psychiatrie@ch-semur.fr</t>
  </si>
  <si>
    <t>03.80.89.64.72</t>
  </si>
  <si>
    <t>www.ch-semur.fr</t>
  </si>
  <si>
    <t>sur RDV</t>
  </si>
  <si>
    <t>CSAPA Tivoli 
35, Rue d'Abrantes</t>
  </si>
  <si>
    <t>CSAPA Tivoli</t>
  </si>
  <si>
    <t>Mardi : 10h 16h</t>
  </si>
  <si>
    <t>Consultation avancée tous les mardis entre 10h et 16h ( binôme psychologue/travailleur social )</t>
  </si>
  <si>
    <t>Montbéliard</t>
  </si>
  <si>
    <t>25200</t>
  </si>
  <si>
    <t>30 Fbg de Besançon</t>
  </si>
  <si>
    <t>03.81.31.29.41
Unité Mobile : 06 85 11 08 91</t>
  </si>
  <si>
    <t>Montbéliard :
lundi et jeudi de 10h à 15h</t>
  </si>
  <si>
    <t>- unité mobile pouvant servir de lieu d'accueil (déplacements sur tout le territoire Nord-Franche-Comté) ; 
- programme d'échange de seringues ;
- interventions ponctuelles en maraude ; 
- intervention en milieu festif ;
L’unité Mobile est rattachée au CAARUD : kmobile.nfc@ahs-fc.fr, kmobile.nfc@ahs-fc.fr, 06-85-11-08-91 (Semaine impaire ; mardi, mercred et jeudi
Semaine paire : mercredi, jeudi 
10h-16h)</t>
  </si>
  <si>
    <t>CMP Adultes, 9 avenue Léon Blum</t>
  </si>
  <si>
    <t>03 81 90 76 10</t>
  </si>
  <si>
    <t>40 Fbg de Besançon</t>
  </si>
  <si>
    <t>03-81-91-09-22/
03-81-99-37-04</t>
  </si>
  <si>
    <t>lundi : 11h - 17h
du mardi au vendredi : 9h - 17h
Consultations Jeunes Consommateurs : Samedi 9h-12h sur RV et sur les horaires du Csapa</t>
  </si>
  <si>
    <t>- Réalisation de consultations avancées sur Pont de Roide, Isle sur le Doubs, Delle et Ornans ;
- intervention en milieu pénitentiaire à la maison d'arrêt de Belfort et de Montébliard ;
- mise à disposition de matériel de consommation à moindre risque ;
- proposition de test rapide d'orientation diagnostic (TROD) ; 
- dispositifs anti-overdose à disposition ; 
- présence d'une CJC.</t>
  </si>
  <si>
    <t>Montceau-Les-Mines</t>
  </si>
  <si>
    <t>23 rue de Chalon</t>
  </si>
  <si>
    <t>csapa.montceau@addictions-france.org</t>
  </si>
  <si>
    <t>0385578533</t>
  </si>
  <si>
    <t>Du lundi au vendredi de 09:00 - 12:00 et de 14:00 - 17:00</t>
  </si>
  <si>
    <t xml:space="preserve">   mise à disposition de matériel de consommation à moindre risque ; présence d'une CJC</t>
  </si>
  <si>
    <t>71300</t>
  </si>
  <si>
    <t>CH Jean Bouveri, Galuzot BP 189,  Dans plusieurs services</t>
  </si>
  <si>
    <t>Centre Hospitalier de Montceau les Mines</t>
  </si>
  <si>
    <t>contact@ch-montceau71.fr</t>
  </si>
  <si>
    <t>03 85 67 61 73</t>
  </si>
  <si>
    <t>9 h / 17 h tous les jours (du lundi au vendredi)</t>
  </si>
  <si>
    <t>CH Jean Bouveri</t>
  </si>
  <si>
    <t>- interventions auprès d'un public majeur ; 
- lits installés au sein d'une même unité ; 
- une unité de médecine polyvalente.</t>
  </si>
  <si>
    <t>Remplir le formulaire de contact : http://www.ch-montceau71.fr/vous-accueillir/nous-contacter/</t>
  </si>
  <si>
    <t>03 86 67 63 71</t>
  </si>
  <si>
    <t>soins complexes</t>
  </si>
  <si>
    <t>Niveau 2 CH Jean Bouveri</t>
  </si>
  <si>
    <t>- interventions auprès d'un public majeur ; 
- lits installés au sein d'une même unité ; 
- unité de médecine polyvalente ;
- accueille également des patients pour des sevrages simples ;
- interventions dans tous les services de l'hôpital ;</t>
  </si>
  <si>
    <t xml:space="preserve">Morez - Haut de Bienne </t>
  </si>
  <si>
    <t>23 avenue de la Libération</t>
  </si>
  <si>
    <t>CSAPA Oppelia Passerelle 39 - consultations avancées</t>
  </si>
  <si>
    <t>04 84 24 66 83</t>
  </si>
  <si>
    <t>www.oppelia.fr</t>
  </si>
  <si>
    <t>Le premier et troisième jeudi de chaque mois, de 14h00 à 18h00 (appeler en amont)</t>
  </si>
  <si>
    <t>Morteau</t>
  </si>
  <si>
    <t>Hopital de Morteau, 9 Rue Maréchal Leclerc</t>
  </si>
  <si>
    <t>CSAPA CHI-HC - consultations avancées</t>
  </si>
  <si>
    <t>csapa@chi-hc.fr</t>
  </si>
  <si>
    <t>03 81 38 53 64</t>
  </si>
  <si>
    <t>Un lundi sur deux de 14 heures à 18h30</t>
  </si>
  <si>
    <t>CCAS de Morteau, 6 rue Barral</t>
  </si>
  <si>
    <t>03.81.83.22.76</t>
  </si>
  <si>
    <t>Mercredi de 9h à 12h (semaine impaire) et de 9h à 17h (semaine paire)</t>
  </si>
  <si>
    <t>Nevers</t>
  </si>
  <si>
    <t>58000</t>
  </si>
  <si>
    <t>9 Rue Gambetta</t>
  </si>
  <si>
    <t>CAARUD DE LA NIEVRE  Addictions France</t>
  </si>
  <si>
    <t>bfc58@addictions-france.org</t>
  </si>
  <si>
    <t>0386590948</t>
  </si>
  <si>
    <t>Lundi de 13:00 à 17:00
Mardi de 13:00 à 17:00
Jeudi de 9:00 à 12:00 et de 13:00 à 17:00</t>
  </si>
  <si>
    <t xml:space="preserve">- intervention en maraude ;
- programme d'échange de seringues </t>
  </si>
  <si>
    <t xml:space="preserve"> 11 Rue Bovet -2ème Etage </t>
  </si>
  <si>
    <t>03 86 61 56 89</t>
  </si>
  <si>
    <t>Du Lundi au Mercredi - 8H30 A 12H30 et de 13H30 A 18H00
Le jeudi : de 13H30 A 17H30
Le vendredi : de 13H30 A 16H30</t>
  </si>
  <si>
    <t>1 avenue Patrick Guillot</t>
  </si>
  <si>
    <t>Centre Hospitalier de l’Agglomération de Nevers</t>
  </si>
  <si>
    <t>chan.addictologie@ght58.fr</t>
  </si>
  <si>
    <t>03 86 93 71 00</t>
  </si>
  <si>
    <t>Lundi au vendredi de 9h à 17h</t>
  </si>
  <si>
    <t>Du Lundi Au Mercredi : De 8H30 A 12H30 et de 13H30 A 18H00
Le jeudi : De 8H30 A 12H30 et de 13H30 A 17H30
Le Vendredi : De 8H30 A 12H30 et de 13H30 A 17H00</t>
  </si>
  <si>
    <t>- Réalisation de consultations avancées sur Imphy ;
- intervention en milieu pénitentiaire à la Maison d'arrêt de Nevers ;
- mise à disposition de matériel de consommation à moindre risque ;
- proposition de test rapide d'orientation diagnostic (TROD) ; 
- dispositifs anti-overdose à disposition ; 
- présence d'une CJC.</t>
  </si>
  <si>
    <t>Centre Hospitalier de l’Agglomération de Nevers, 1 avenue Patrick Guillot, Dans plusieurs services</t>
  </si>
  <si>
    <t>Urgences, unité hospitalière de très courte durée
Hépato-gastro-entérologie, médecine infectieuse, chirurgie digestive, hôpital de jour
Cardiologie, urgences et soins intensifs de cardiologie, pneumologie
Néphrologie, hémodialyse, diabétologie, neurologie, VTH, médecine générale, hôpital de jour
Maternité
Intervention possible dans tous les services du CHAN</t>
  </si>
  <si>
    <t xml:space="preserve">- intervention auprès d'un public majeur ;
- aucun lit dédié mais sevrage possible au cas par cas. </t>
  </si>
  <si>
    <t>Noidans-Le-Ferroux</t>
  </si>
  <si>
    <t>Maison Médicale - 20, rue du Centre</t>
  </si>
  <si>
    <t>Association Addictions France en Haute-Saône- consultations avancées</t>
  </si>
  <si>
    <t>03-84-76-75-81</t>
  </si>
  <si>
    <t>Lundi 9h-12h</t>
  </si>
  <si>
    <t>Réalisation de consultations avancées
MSMA – Intervention en Microstructure</t>
  </si>
  <si>
    <t>Novillars</t>
  </si>
  <si>
    <t xml:space="preserve"> CH NOVILLARS, Dans plusieurs services</t>
  </si>
  <si>
    <t>- intervention auprès de public majeur ; 
- intervention au CHU :Services d'urgences du CHU : SAU, urgences traumatologiques,  urgences psychiatriques et sur l'ensemble du site de Novillars de médecine, chirurgie, obstétrique et de psychiatrie. 
- interventions au CH Novillars dans les services intra hospitaliers de psychiatrie
&gt; 8 lits d'addictologie au 1er septembre 2022 (unité Nérée du Centre Hospitalier de Novillars)
Sur adressage et/ou sur sollicitation directe de l'eéquipe de l'ELSA</t>
  </si>
  <si>
    <t>CMP Jules Vernes</t>
  </si>
  <si>
    <t xml:space="preserve">CH de Novillars </t>
  </si>
  <si>
    <t>cmp.julesverne@ch-novillars.fr</t>
  </si>
  <si>
    <t xml:space="preserve">03 81 40 38 00 </t>
  </si>
  <si>
    <t>1 vendredi sur 2 au CMP (consultations de préadmission à Nérée)</t>
  </si>
  <si>
    <t xml:space="preserve"> Consultation spécialisée en addictologie en vue d'une admission en soins hospitaliers pour sevrage complexe
 L'adressage est médical, via le formulaire de demande de consultation disponible sur le site internet du CHN ou en passant par le secrétariat du pôle B.</t>
  </si>
  <si>
    <t xml:space="preserve"> CH NOVILLARS</t>
  </si>
  <si>
    <t>CH Novillars- Unité Nérée</t>
  </si>
  <si>
    <t>elsa@ch-novillars.fr</t>
  </si>
  <si>
    <t>Hospitalisation temps complet</t>
  </si>
  <si>
    <t>Unité de soins intersectorielles en addictologie pour le Doubs avec admission des patients après consultation de pré admission</t>
  </si>
  <si>
    <t>Orgelet</t>
  </si>
  <si>
    <t>3 rue du Mont Orgier</t>
  </si>
  <si>
    <t>CSAPA Oppélia Passerelle 39 - microstructure)</t>
  </si>
  <si>
    <t>03 84 25 68 25</t>
  </si>
  <si>
    <t>https://www.oppelia.fr/etablissement/passerelle-39-orgelet/</t>
  </si>
  <si>
    <t>Le mardi matin de 9h00 à 12h00</t>
  </si>
  <si>
    <t>Présence de l'assistante sociale tous les mardis matin. Les rendez-vous sont gérés par la maison de santé.</t>
  </si>
  <si>
    <t>Ornans</t>
  </si>
  <si>
    <t>1 Rue Saint-Laurent</t>
  </si>
  <si>
    <t>pole-addiction.nfc@ahs-fc.fr</t>
  </si>
  <si>
    <t>03.81.99.37.08</t>
  </si>
  <si>
    <t>Du lundi au vendredi de 8h30 à 12h et de 13h30 à 16h.</t>
  </si>
  <si>
    <t>32 Rue Jacques Gervais</t>
  </si>
  <si>
    <t>une semaine sur deux de 9h à 17h</t>
  </si>
  <si>
    <t>Paray Le Monial</t>
  </si>
  <si>
    <t>3 Quai de l'Industrie</t>
  </si>
  <si>
    <t>csapa.paraylemonial@addictions-France.org</t>
  </si>
  <si>
    <t>0385810906</t>
  </si>
  <si>
    <t>Lundi et mardi 9h 12h30 et 13h 18h
Mercredi : 9h à 12h
Jeudi 9h 12h30 et 13h 18h
Vendredi 9h12h30 et 13h 16h</t>
  </si>
  <si>
    <t xml:space="preserve">mise à disposition de matériel de consommation à moindre risque ; présence d'une CJC  </t>
  </si>
  <si>
    <t>Pont De Roide</t>
  </si>
  <si>
    <t xml:space="preserve">Maison de la Santé Rudipontaine 
3A Rue de la Résistance </t>
  </si>
  <si>
    <t>03-81-91-09-22</t>
  </si>
  <si>
    <t>Pontarlier</t>
  </si>
  <si>
    <t>25300</t>
  </si>
  <si>
    <t>2 Fbg Saint-Etienne</t>
  </si>
  <si>
    <t>CSAPA CHI-HC</t>
  </si>
  <si>
    <t>Lundi/mardi/jeudi de 8h à19h
 et les mercredis/vendredi de 8h à 16h.</t>
  </si>
  <si>
    <t>CHI-HC PONTARLIER</t>
  </si>
  <si>
    <t>Lundi, mardi et jeudi de 8 heures à 19 heures, mercredi et vendredi de 8 heures à 16 heures.</t>
  </si>
  <si>
    <t>2 faubourg Saint Etienne 25300 PONTARLIER</t>
  </si>
  <si>
    <t>Lundi-Mardi-Jeudi de 8 heures à 19 heures 
Mercredi et Vendredi de 8 heures à 16 heures</t>
  </si>
  <si>
    <t>- réalisation de consultations avancées sur Morteau ;
- présence d'une CJC</t>
  </si>
  <si>
    <t>Maison de santé de Pontarlier, 16  rue De la Fontaine</t>
  </si>
  <si>
    <t>03.81.83.22.75</t>
  </si>
  <si>
    <t>Mardi de 9h30 à 16h30</t>
  </si>
  <si>
    <t>CHI-HC PONTARLIER, Dans plusieurs services</t>
  </si>
  <si>
    <t xml:space="preserve">Lundi/mardi/jeudi de 8h à19h
 et les mercredis/vendredi de 8h à 16h.  </t>
  </si>
  <si>
    <t>-interventions tous publics ,dans tous les services; 
- interventions dans l'ensemble des services du CHI-HC ( les 3 services de médecine, le service de chirurgie, la maternité, la pédiatrie néonat., l'UHTCD, les urgences et la psychiatrie)</t>
  </si>
  <si>
    <t>Quingey</t>
  </si>
  <si>
    <t>Mairie de Quingey, 1 place d'armes</t>
  </si>
  <si>
    <t>CSAPA de Besançon - Association Addictions France- consultations avancées</t>
  </si>
  <si>
    <t>03.81.83.22.77</t>
  </si>
  <si>
    <t>Vendredi de 8h30 à 11h30</t>
  </si>
  <si>
    <t>Rioz</t>
  </si>
  <si>
    <t>CMS - Rue du Clair Soleil</t>
  </si>
  <si>
    <t>Jeudi 13h30-17h (1 fois par mois)</t>
  </si>
  <si>
    <t>Saint-Claude</t>
  </si>
  <si>
    <t>45 rue due Collège</t>
  </si>
  <si>
    <t>Lundi: 10h à 12h - 14h à 13h30-17h, Mardi: 9h à 12h - 13h à 18h, Mercredi 9h - 12h - 13h-17h30, jeudi 9h à 12h - 13h à 19h, vendredi: 10h à 12h - 13h à 17h30</t>
  </si>
  <si>
    <t>- suivi médico-psycho-social : accueil, entretiens, consultations ; 
- mise à disposition de matériel de consommation à moindre risque ;
- proposition de test rapide d'orientation diagnostic (TROD) ; 
- dispositifs anti-overdose à disposition ; 
- présence d'une CJC.</t>
  </si>
  <si>
    <t xml:space="preserve"> Centre de Périnatalité de Proximité de Saint-Claude, 2 Rue de l'Hôpital</t>
  </si>
  <si>
    <t>CSAPA - Oppélia39 - consultations avancées - Centre de Périnatalité de Proximité de Saint-Claude</t>
  </si>
  <si>
    <t>https://www.oppelia.fr/etablissement/passerelle-39-saint-claude/</t>
  </si>
  <si>
    <t>Lundi : 10h à 12h30 - 13h30 à 16h</t>
  </si>
  <si>
    <t>Saint-Ylie Dole</t>
  </si>
  <si>
    <t>39108</t>
  </si>
  <si>
    <t>CHS Saint-Ylie Jura
Centre hospitalier spécialisé du Jura</t>
  </si>
  <si>
    <t>- intervention auprès de public majeur ; 
- intervention en URA et dans l'ensemble des services du CHS Saint-ylie Jura, au CHLP Dole
RQ: L'ELSA est rattaché au CSAPA de Dole lui même rattaché au CHS Saint-ylie Jura</t>
  </si>
  <si>
    <t>Salins Les Bains</t>
  </si>
  <si>
    <t>1 rue des Bains 39110 Salins Les Bains</t>
  </si>
  <si>
    <t xml:space="preserve">vendredi de 9h30 à 16h30 </t>
  </si>
  <si>
    <t>Saulieu</t>
  </si>
  <si>
    <t>2 rue Courtépée</t>
  </si>
  <si>
    <t>Jeudi : semaine paire 10h-16h30, semaine impaire 13h30 17h</t>
  </si>
  <si>
    <t>Centre Hospitalier Haute Côte-d'Or - Site de Saulieu 2 Rue Claude Courtépée 21210 SAULIEU</t>
  </si>
  <si>
    <t>CENTRE HOSPITALIER - CHA (CENTRE HOSPITALIER ROBERT MORLEVAT  SEMUR EN AUXOIS)</t>
  </si>
  <si>
    <t>SUR RDV</t>
  </si>
  <si>
    <t>Selongey</t>
  </si>
  <si>
    <t>Rue du rang Pastourelle</t>
  </si>
  <si>
    <t>lundi, mercredi 9h-12h/14h-18h et vendredi  9h-12h</t>
  </si>
  <si>
    <t>Semur-En-Auxois</t>
  </si>
  <si>
    <t>Centre Hospitalier 3 Avenue Pasteur 21 140 SEMUR EN AUXOIS</t>
  </si>
  <si>
    <r>
      <t xml:space="preserve">Centre Hospitalier - CHA (Centre Hospitalier Robert Morlevat) </t>
    </r>
    <r>
      <rPr>
        <strike/>
        <sz val="11"/>
        <color theme="1"/>
        <rFont val="Calibri"/>
        <family val="2"/>
        <scheme val="minor"/>
      </rPr>
      <t/>
    </r>
  </si>
  <si>
    <t xml:space="preserve"> Dr Thomas WALLENHORST _ psychiatre addictologue_ sur RDV le mardi matin
Dr Jacques CORNET_ médecin addictologue_ sur RDV le mardi après-midi et le jeudi après-midi
Infirmière addictologue_ sur RDV du lundi au vendredi (9h-17h)</t>
  </si>
  <si>
    <t>21140</t>
  </si>
  <si>
    <t>Centre Hospitalier - 3 Avenue Pasteur 21 140 SEMUR EN AUXOIS</t>
  </si>
  <si>
    <t>Centre Hospitalier Robert Morlevat</t>
  </si>
  <si>
    <t>- intervention auprès de public majeur ; 
- du lundi au vendredi, sur demande, CH de Semur en Auxois</t>
  </si>
  <si>
    <t>- interventions auprès d'un public majeur ; 
- 5 lits</t>
  </si>
  <si>
    <t>Sens</t>
  </si>
  <si>
    <t>43 rue du 19 mars 1962</t>
  </si>
  <si>
    <t>csapa.sens@addictions-france.org</t>
  </si>
  <si>
    <t>03.86.95.10.71</t>
  </si>
  <si>
    <t>Lundi 9h-13h / 14h-17h Mardi 9h-13h / 14h-18h Mercredi 9h-13h / 13h30-17h Jeudi 9h-13h / 14h-19h Vendredi 9h-13h / 14h-17h</t>
  </si>
  <si>
    <t>lieux de permanences : Villeneuve/Yonne
CJC avancées qui dépendant du CSAPA de Sens: lycée Janot Curie (Sens), Collège des Champs Plaisants (Sens), Collège Montpezat (Sens), Collège Mallarmé (Sens), Collège Chateaubriand (Villeneuve/Yonne), Collège ""André Malraux"" (Paron) et Collège Restif de la Bretonne (Pont/Yonne)"</t>
  </si>
  <si>
    <t>89100</t>
  </si>
  <si>
    <t>Unité mobile d'addictologie, 5e étage, 1 avenue Pierre de Coubertin</t>
  </si>
  <si>
    <t>Centre Hospitalier de Sens</t>
  </si>
  <si>
    <t xml:space="preserve">secretaddicto@ch-sens.fr </t>
  </si>
  <si>
    <t>03.86.86.15.35</t>
  </si>
  <si>
    <t>www.ch-sens.fr</t>
  </si>
  <si>
    <t>Lundi : 14h-17h
Mercredi 9h-12h / 14h-17h
Vendredi matin : 9h -12h</t>
  </si>
  <si>
    <t>CHRS Sens - 61 Bd du 14 Juillet</t>
  </si>
  <si>
    <t xml:space="preserve"> 03 86 95 10 71</t>
  </si>
  <si>
    <t>1 lundi matin sur 2</t>
  </si>
  <si>
    <t>Centre Hospitalier 1 Avenue Pierre de Coubertin</t>
  </si>
  <si>
    <t>le mercredi  de 9h à 12h30</t>
  </si>
  <si>
    <t>CHRS 61 Boulevard du 14 juillet</t>
  </si>
  <si>
    <t>03.86.51.46.101</t>
  </si>
  <si>
    <t>1 lundi sur 2 de 9h30 à 15h</t>
  </si>
  <si>
    <t>Centre Hospitalier de Sens, 1 avenue Pierre de Coubertin, Dans plusieurs services</t>
  </si>
  <si>
    <t xml:space="preserve"> secretaddicto@ch-sens.fr </t>
  </si>
  <si>
    <t>- intervention auprès de public majeur ; 
- intervention en pédiatrie et dans les services MCO et EHPAD</t>
  </si>
  <si>
    <t>Médecine Polyvalente - Médecine de Spécialités, Centre Hospitalier de Sens, 1 avenue Pierre de Coubertin</t>
  </si>
  <si>
    <t xml:space="preserve"> secretaddicto@ch-sens.fr</t>
  </si>
  <si>
    <t>- intervention auprès d'un public majeur ;
- lits disséminés dans différentes unités hospitalières ; 
- unité de médecine polyvalente ou médecine de spécialités</t>
  </si>
  <si>
    <t>Sevrey</t>
  </si>
  <si>
    <t>EPSM71, 55 rue auguste champion 71100 SEVREY, dans plusieurs services</t>
  </si>
  <si>
    <t>EPSM 71</t>
  </si>
  <si>
    <t>iris2.docs@epsm71.fr</t>
  </si>
  <si>
    <t>03 85 92 82 04</t>
  </si>
  <si>
    <t>https://www.epsm71.fr</t>
  </si>
  <si>
    <t>du lundi au vendredi de 9h à 17h</t>
  </si>
  <si>
    <t>intervention aupres de public mineur et majeur, intervention dans tous les services de l'epsm71 en sanitaires et medico-social</t>
  </si>
  <si>
    <t>EPSM71, Unité Médicale d'Hospitalisation en Addictologie, 55 rue auguste champion 71100 SEVREY</t>
  </si>
  <si>
    <t>en continue 24h/24h</t>
  </si>
  <si>
    <t xml:space="preserve">- intervention auprès de public majeur ; 
</t>
  </si>
  <si>
    <t>St Claude</t>
  </si>
  <si>
    <t>45 rue des prés (Saint-Claude)</t>
  </si>
  <si>
    <t>Mercredi : 9h à 12h30 - 13h30 à 18h</t>
  </si>
  <si>
    <t>- Accueil des jeunes ; 
- Accueil de la famille et l'entourage ; 
- Orientation sur rendez-vous ;</t>
  </si>
  <si>
    <t>Tannay</t>
  </si>
  <si>
    <t>8 Place Charles Chaigneau</t>
  </si>
  <si>
    <t>Mardi, Jeudi, Vendredi : 8h30 – 12h30 / 13h30 – 17h</t>
  </si>
  <si>
    <t>Trévenans</t>
  </si>
  <si>
    <t>100 Rte de Moval</t>
  </si>
  <si>
    <t xml:space="preserve">
vendredi 13H30 à 18H sur le site de Trévenans</t>
  </si>
  <si>
    <t>Hôpital Nord Franche-Comté, 100 route de Moval</t>
  </si>
  <si>
    <t>CSAPA de Belfort - Association Addictions France - consultations avancées</t>
  </si>
  <si>
    <t>csapa.belfort@addictions-france.org</t>
  </si>
  <si>
    <t>03.84.22.31.39</t>
  </si>
  <si>
    <t>Le lundi de 9h30 à 11h30 et le jeudi de 9h à 12h30</t>
  </si>
  <si>
    <t>Valdahon</t>
  </si>
  <si>
    <t>Maison des Services 5 place de Gén de Gaulle</t>
  </si>
  <si>
    <t>Vesoul</t>
  </si>
  <si>
    <t>70000</t>
  </si>
  <si>
    <t>27 Av. Aristide Briand</t>
  </si>
  <si>
    <t>caarud.vesoul@addictions-france.org</t>
  </si>
  <si>
    <t>Lundi : 10h-12h / 13h30 - 16h
Mardi : 9h 12h  
Jeudi : 9h-12h / 13h30 - 16h
Vendredi : sur rendez-vous</t>
  </si>
  <si>
    <t>- Unité mobile pouvant servir de lieu d'accueil (déplacement possible sur l’ensemble du territoire Haut-Saônois) ; 
- Programme d'échange de seringues ;
- Intervention en maraude ; 
- Intervention en milieu festif.</t>
  </si>
  <si>
    <t xml:space="preserve">Lundi, jeudi et vendredi : 8h30-12h30 / 13h-17h
Mardi : 8h30-12h30 / 13h-19h (fermeture de 14h à 16h les 2èmes mardis du mois)
Mercredi 13h-16h30 (semaines impaires) </t>
  </si>
  <si>
    <t>- Accueil des familles ; 
- Orientation sur rendez-vous ;
- CJC accessible à la famille et l'entourage ; 
- locaux identiques à ceux du CSAPA. 
Accessible à la famille et l'entourage</t>
  </si>
  <si>
    <t>2 Rue René Heymes</t>
  </si>
  <si>
    <t xml:space="preserve">Lundi au vendredi : 9h - 12h30 / 13h - 17h (ouverture du secrétariat) 
Mardi et mercredi :  9h - 12h30 / 13h - 19h (consultations)
</t>
  </si>
  <si>
    <t>- Réalisation de consultations avancées sur Vesoul, Fontaine-les-Dijon, Avallon, Vesoul, Lure,  Vesoul, Gray, Luxeuil-les-Bains, Noidans-Le-Ferroux, CPP Gray, Vesoul, Jussey, Rioz ;
- intervention en milieu pénitentiaire à la maison d'arrêt de Vesoul
- mise à disposition de matériel de consommation à moindre risque ;
- dispositifs anti-overdose à disposition ; 
- présence d'une CJC
- 2 antennes : à Gray et Luxueil les Bains</t>
  </si>
  <si>
    <t>MDA de Vesoul - 19, rue de la Banque</t>
  </si>
  <si>
    <t>03-84-76-75-78</t>
  </si>
  <si>
    <t>Jeudi 12h30 -16h</t>
  </si>
  <si>
    <t>AHSRA - 2, rue René Hologne</t>
  </si>
  <si>
    <t xml:space="preserve"> Jeudi 9h-12h (semaines impaires) </t>
  </si>
  <si>
    <t>Réalisation de consultations avancées
Consultations avancées en CHRS</t>
  </si>
  <si>
    <t>Maison d'Arrêt - Place Beauchamp</t>
  </si>
  <si>
    <t xml:space="preserve"> 03-84-76-75-75</t>
  </si>
  <si>
    <t>Jeudi 13h30-16h30</t>
  </si>
  <si>
    <t>Groupe Hospitalier de la Haute-Saône (GH70), 2 rue René Heymes, Dans plusieurs services</t>
  </si>
  <si>
    <t>Groupe Hospitalier de la Haute-Saône (GH70)</t>
  </si>
  <si>
    <t>03 84 96 29 66</t>
  </si>
  <si>
    <t>- intervention auprès de public majeur ; 
- L'ELSA intervient tous les jours et à titre systématique aux urgences et dans tous les services de tous les sites du GH sur demande des services.</t>
  </si>
  <si>
    <t>GH70 site de LURE
37 avenue Carnot</t>
  </si>
  <si>
    <t>03 84 62 43 92</t>
  </si>
  <si>
    <t xml:space="preserve">- interventions auprès d'un public majeur ; 
- lits installés au sein d'une même unité ; 
- unité d'addictologie
</t>
  </si>
  <si>
    <t>Groupe Hospitalier de la Haute-Saône site de LURE
37 avenue Carnot</t>
  </si>
  <si>
    <t>03 84 62 43 76</t>
  </si>
  <si>
    <t>- 8h30 à 17h00 du lundi au vendredi</t>
  </si>
  <si>
    <t>MDA Vesoul : 19 rue de la Banque 4ème étage</t>
  </si>
  <si>
    <t xml:space="preserve">Vesoul </t>
  </si>
  <si>
    <t>SAFED – 100 rue Baron Bouvier</t>
  </si>
  <si>
    <t xml:space="preserve"> csapa.vesoul@addictions-france.org</t>
  </si>
  <si>
    <t xml:space="preserve"> Vendredi 14h-16h (semaines paires) </t>
  </si>
  <si>
    <t>Consultations avancées en CHRS</t>
  </si>
  <si>
    <t>Structures intervenant en Côte-d'Or (21)</t>
  </si>
  <si>
    <t>Colonne1</t>
  </si>
  <si>
    <t>Structures intervenant dans le Jura (39)</t>
  </si>
  <si>
    <t>Structures intervenant dans la Nièvre (58)</t>
  </si>
  <si>
    <t>Structures intervenant dans le Doubs (25)</t>
  </si>
  <si>
    <t>Structures intervenant en Haute-Saône (70)</t>
  </si>
  <si>
    <t>Structures intervenant en Saône-et-Loire (71)</t>
  </si>
  <si>
    <t>Structures intervenant dans l'Yonne (89)</t>
  </si>
  <si>
    <t>Structures intervenant dans le Territoire de Belfort (90)</t>
  </si>
  <si>
    <t>Lits d'hospitalisation pour sevrage simple</t>
  </si>
  <si>
    <t>Commune</t>
  </si>
  <si>
    <t>Intervention Nord-Franche-Comte</t>
  </si>
  <si>
    <t>Statut structure</t>
  </si>
  <si>
    <t>Téléphone</t>
  </si>
  <si>
    <t>Site</t>
  </si>
  <si>
    <t>Les lits sont :</t>
  </si>
  <si>
    <t>Unités mobilisées</t>
  </si>
  <si>
    <t>VESOUL</t>
  </si>
  <si>
    <t>GH70 site de LURE
37 avenue Carnot
70200 LURE</t>
  </si>
  <si>
    <t>Non</t>
  </si>
  <si>
    <t>Majeurs</t>
  </si>
  <si>
    <t>Installés au sein d’une même unité</t>
  </si>
  <si>
    <t>Unité d'addictololgie</t>
  </si>
  <si>
    <t>LONS LE SAUNIER</t>
  </si>
  <si>
    <t>Médecine 1, UF d'Addictologie</t>
  </si>
  <si>
    <t>direction.generale@hopitaux-jura.fr</t>
  </si>
  <si>
    <t>03.84.35.60.40 (secrétariat du service)</t>
  </si>
  <si>
    <t>Mineurs;Majeurs</t>
  </si>
  <si>
    <t>Médecine 1 (gastro-entérologie)</t>
  </si>
  <si>
    <t>- intervention auprès d'un public mineur et majeur ;
- lits installés au sein d'une même unité ; 
- unité de médecine 1 (gastro-entérologie)</t>
  </si>
  <si>
    <t>7 bis rue de parpas
71400 autun</t>
  </si>
  <si>
    <t>f.chambre@ch-autun.fr
http://ch-autun.fr/contact/</t>
  </si>
  <si>
    <t>médecine 2</t>
  </si>
  <si>
    <t xml:space="preserve">- interventions auprès d'un public majeur ; 
- lits installés au sein d'une même unité ; 
- unité de médecine 2
</t>
  </si>
  <si>
    <t>Montceau les Mines</t>
  </si>
  <si>
    <t>galuzot 71300 montceau les mines</t>
  </si>
  <si>
    <t>ch jean bouverie</t>
  </si>
  <si>
    <t>fchambre@ch-montceau71.fr</t>
  </si>
  <si>
    <t>03 86 67 71 63</t>
  </si>
  <si>
    <t>medecine polyvalente</t>
  </si>
  <si>
    <t xml:space="preserve">- interventions auprès d'un public majeur ; 
- lits installés au sein d'une même unité ; 
- unité de médecine polyvalente
</t>
  </si>
  <si>
    <t>HOSPICES CIVILS DE BEAUNE
Avenue Guigone de Salins
21200 BEAUNE</t>
  </si>
  <si>
    <t>Pas de lit dédié, demande auprès du service de rattachement selon disponibilité</t>
  </si>
  <si>
    <t>Unité de médecine 2, service de médecine polyvalente à orientation gastroentérologique et oncologique</t>
  </si>
  <si>
    <t>Hôpital les Chanaux, Bd L Escandes, 71018 Mâcon Cedex</t>
  </si>
  <si>
    <t>ADSERVICE@ch-macon.fr</t>
  </si>
  <si>
    <t>www.ch-macon.fr/specialite/addictologie/</t>
  </si>
  <si>
    <t>Unité d'Addictologie, Unité R3</t>
  </si>
  <si>
    <t>- interventions auprès d'un public majeur ; 
- lits installés au sein d'une même unité ; 
- unité d'addictologie, unité R3</t>
  </si>
  <si>
    <t>SERVICE DE NEUROLOGIE
3ème ETAGE
CH LOUIS PASTEUR - 39100 DOLE</t>
  </si>
  <si>
    <t>UNITE NEUROLOGIE</t>
  </si>
  <si>
    <t>Ensemble de la région Bourgogne-Franche-Comté</t>
  </si>
  <si>
    <t>120 route nationale
39108 Dole</t>
  </si>
  <si>
    <t>URA</t>
  </si>
  <si>
    <t>- interventions auprès d'un public majeur ; 
- lits installés au sein d'une même unité ; 
- URA</t>
  </si>
  <si>
    <t>Semur-en-Auxois</t>
  </si>
  <si>
    <t>Centre Hospitalier Robert Morlevat
Service Escale
2 Rue du 8 Mai
21 140 Semur en Auxois</t>
  </si>
  <si>
    <t>0380896214</t>
  </si>
  <si>
    <t>Service Escale</t>
  </si>
  <si>
    <t>- interventions auprès d'un public majeur ; 
- lits installés au sein d'une même unité ; 
- service escale</t>
  </si>
  <si>
    <t>Médecine Polyvalente, Centre Hospitalier de Sens, 1 avenue Pierre de Coubertin, 89100 Sens</t>
  </si>
  <si>
    <t>contact@ch-sens.fr</t>
  </si>
  <si>
    <t>Disséminés dans différentes unités hospitalières</t>
  </si>
  <si>
    <t>Médecine polyvalente ou médecine de spécialités</t>
  </si>
  <si>
    <t>Centre hospitalier - service de médecine D - 74 Route de Moulins 58300 DECIZE</t>
  </si>
  <si>
    <t>Sont intégrés dans le service de médecine à orientation gastroentérologie</t>
  </si>
  <si>
    <t>Médecine D</t>
  </si>
  <si>
    <t>3 av Pasteur, CH de Semur</t>
  </si>
  <si>
    <t>Centre hospitalier Robert Morlevat,</t>
  </si>
  <si>
    <t>Escale</t>
  </si>
  <si>
    <t>- interventions auprès d'un public majeur ; 
- lits installés au sein d'une même unité ; 
- escale</t>
  </si>
  <si>
    <t>Côte-d’Or (21);Doubs (25);Jura (39);Nièvre (58);Haute-Saône (70);Saône-et-Loire (71);Yonne (89);Territoire de Belfort (90);Ensemble de la région Bourgogne-Franche-Comté</t>
  </si>
  <si>
    <t>EOLE (2 lits sevrage simple et 16 Lits sevrage complexe)</t>
  </si>
  <si>
    <t>- interventions auprès d'un public majeur ; 
- lits installés au sein d'une même unité ; 
- une unité EOLE (2 lits sevrage simple et 16 lits sevrage complexe.</t>
  </si>
  <si>
    <t>bp 189
71300 montceau les mines</t>
  </si>
  <si>
    <t>centre hospitalier de Montceau les Mines</t>
  </si>
  <si>
    <t>médecine polyvalente</t>
  </si>
  <si>
    <t>SERVICE ESCALE
CENTRE HOSPITALIER ROBERT MORLEVAT
21140 SEMUR EN AUXOIS</t>
  </si>
  <si>
    <t>CENTRE HOSPITALIER ROBERT MORLEVAT  SEMUR EN AUXOIS</t>
  </si>
  <si>
    <t>UNITE ESCALE</t>
  </si>
  <si>
    <t xml:space="preserve">- interventions auprès d'un public majeur ; 
- lits installés au sein d'une même unité ; </t>
  </si>
  <si>
    <t>3, quai de l'Hôpital 89300 JOIGNY</t>
  </si>
  <si>
    <t>le même : Cs externes - référent Dr E Maurice (pas d'appel direct, par le secrétariat) 2 lits dédiés sur le pôle H</t>
  </si>
  <si>
    <t>2 unités
USC lit délocalisé de médecine B : 1 lit
Médecine B : 1 lit</t>
  </si>
  <si>
    <t>2 boulevard Verdun - 89000 AUXERRE</t>
  </si>
  <si>
    <t>Hépato-gastrologie</t>
  </si>
  <si>
    <t>Côte-d’Or (21);Ensemble de la région Bourgogne-Franche-Comté</t>
  </si>
  <si>
    <t>Hôpital François Mitterrand
CHU de Dijon
Bâtiment Marion (entrée N°5)
14 Rue Paul Gaffarel, 21000 Dijon</t>
  </si>
  <si>
    <t>Service Hospitalo-Universitaire d'Addictologie</t>
  </si>
  <si>
    <t>CHS Saint-Ylie Jura
URA "Les Hirondelles"
120 Route Nationale
39108 DOLE</t>
  </si>
  <si>
    <t>URA "Les Hirondelles"</t>
  </si>
  <si>
    <t>1 avenue Patrick Guillot
58000 Nevers</t>
  </si>
  <si>
    <t>unite.addictologie@ch-nevers.fr</t>
  </si>
  <si>
    <t>www.ch-nevers.fr</t>
  </si>
  <si>
    <t>Aucun lit dédié, sevrage possible au cas par cas</t>
  </si>
  <si>
    <t>Doubs (25);Haute-Saône (70);Territoire de Belfort (90)</t>
  </si>
  <si>
    <t>CPG Héricourt, 3e étage.</t>
  </si>
  <si>
    <t>7 RUE DE LA DEMI LUNE 39140 BLETTERANS</t>
  </si>
  <si>
    <t>contact@adlca-bletterans.fr</t>
  </si>
  <si>
    <t>MCO</t>
  </si>
  <si>
    <t>Nièvre (58);Saône-et-Loire (71);Ensemble de la région Bourgogne-Franche-Comté</t>
  </si>
  <si>
    <t>71307</t>
  </si>
  <si>
    <t>le galuzot
71307 montceau-les-mines</t>
  </si>
  <si>
    <t>- interventions auprès d'un public majeur ; 
- lits installés au sein d'une même unité ; 
- unité de médecine polyvalente</t>
  </si>
  <si>
    <t>Service de médecine B 
CHI-HC PONTARLIER</t>
  </si>
  <si>
    <t>ELSA - CHI-HC PONTARLIER</t>
  </si>
  <si>
    <t>Service de médecine B</t>
  </si>
  <si>
    <t>- interventions auprès d'un public majeur ; 
- lits installés au sein d'une même unité ; 
- unité de service de médecine B</t>
  </si>
  <si>
    <t>Unité Michel Thuillier</t>
  </si>
  <si>
    <t>Unité d'hospitalisation pour soins complexes</t>
  </si>
  <si>
    <t xml:space="preserve">L’unité d’hospitalisation pour soins complexes accueille également des patients pour des sevrages simples </t>
  </si>
  <si>
    <t>GH70 site de LURE
37 avenue Carnot
70 200 LURE</t>
  </si>
  <si>
    <t xml:space="preserve">- intervention auprès de public majeur et mineur ; 
- accueille également des patients pour des sevrages simples </t>
  </si>
  <si>
    <t>montceau les mines</t>
  </si>
  <si>
    <t>BEAUNE</t>
  </si>
  <si>
    <t>jura.addictologie@chsjura.fr</t>
  </si>
  <si>
    <t>SEMUR EN AUXOIS</t>
  </si>
  <si>
    <t>Unité Médicale d'Hospitalisation en Addictologie,
CHS de Sevrey
55 Rue Auguste Champion 
71331 CHALON SUR SAONE Cedex</t>
  </si>
  <si>
    <t>CHS de Sevrey</t>
  </si>
  <si>
    <t>iris2.docs@ch-sevrey.fr</t>
  </si>
  <si>
    <t>03 85 92 83 12</t>
  </si>
  <si>
    <t>https://www.ch-sevrey.fr/</t>
  </si>
  <si>
    <t>BVD Chamoine Kir 21000 Dijon</t>
  </si>
  <si>
    <t>UNITE ESCALE
CH ROBERT MORLEVAT
21140 SEMUR EN AUXOIS</t>
  </si>
  <si>
    <t>SEVREY</t>
  </si>
  <si>
    <t>71331</t>
  </si>
  <si>
    <t>Unité Emeraude CHS de SEVREY</t>
  </si>
  <si>
    <t>CHS de SEVREY</t>
  </si>
  <si>
    <t>chs@ch-sevrey.fr</t>
  </si>
  <si>
    <t xml:space="preserve">- intervention auprès de public majeur ;  </t>
  </si>
  <si>
    <t>DOLE</t>
  </si>
  <si>
    <t>CHS Saint-Ylie Jura
URA "Les Hirondelles"
120 route Nationale
39108 DOLE</t>
  </si>
  <si>
    <t>BLETTERANS</t>
  </si>
  <si>
    <t>08 85 67 61 73</t>
  </si>
  <si>
    <t>ELSA de la Région</t>
  </si>
  <si>
    <t>Interventions</t>
  </si>
  <si>
    <t>Téléphone de l'ELSA</t>
  </si>
  <si>
    <t>Dans plusieurs services</t>
  </si>
  <si>
    <t>03.84.35.61.24 ou 03.84.35.61.27</t>
  </si>
  <si>
    <t>f.chambre@ch-autun.fr</t>
  </si>
  <si>
    <t>- intervention auprès de public majeur ; 
- interventions dans tous les services</t>
  </si>
  <si>
    <t>Concerne mineurs ou majeurs  (pas d'exclusion
Tous : urgences (SAU, UHCD), MCO (médecine chirurgie et maternité), pédiatrie, psychiatrie;     et SSR, USLD, ehpad
Procédure de prescription de consultation dans DP : Crossway (téléphone réservé aux urgences relatives)
Procédure de rencontre des intoxications éthylique aigues au lendemain de l'ivresse : aux urgences (SAU, UHCD), MCO (médecine chirurgie et maternité), pédiatrie, psychiatrie;</t>
  </si>
  <si>
    <t>Chalon-sur -Saône</t>
  </si>
  <si>
    <t>Dans un seul service</t>
  </si>
  <si>
    <t>0380896539 / 0380894597</t>
  </si>
  <si>
    <t>- intervention auprès de public majeur ; 
- intervention au Centre Hospitalier de Semur en Auxois</t>
  </si>
  <si>
    <t>DECIZE 58300</t>
  </si>
  <si>
    <t>0380896539</t>
  </si>
  <si>
    <t>- intervention auprès de public majeur ; 
- interventions en urgences, MCO du CH de Semur, Psychiatrie adultes et addictologie</t>
  </si>
  <si>
    <t>namnasri@ch-montceau71.fr</t>
  </si>
  <si>
    <t>- intervention auprès de public majeur ; 
- interventions en urgences, médecine polyvalente, ssr addicto essentiellement et tous les autres services d'hospitalisation</t>
  </si>
  <si>
    <t>0380896545</t>
  </si>
  <si>
    <t>- intervention auprès de public majeur ; 
- interventions dans tous les services de MCO et psychiatrie de l'hôpital de SEMUR,  EHPAD</t>
  </si>
  <si>
    <t>89300 JOIGNY YONNE</t>
  </si>
  <si>
    <t>03.86.92.33.77 celui des Consultations Externes  (contact interne par messagerie DPM - DX planning)</t>
  </si>
  <si>
    <t>AUXERRE</t>
  </si>
  <si>
    <t>- intervention auprès de public majeur ; 
- intervention dans tout l'hôpital, sanitaire et médico-social</t>
  </si>
  <si>
    <t>Urgences, unité hospitalière de très courte durée
Hépato-gastro-entérologie, médecine infectieuse, chirurgie digestive, hôpital de jour
Cardiologie, urgences et soins intensifs de cardiologie, pneumologie
Néphrologie, hémodialyse, diabétologie, neurologie, VTH, médecine générale, hôpital de jour
Maternité</t>
  </si>
  <si>
    <t>LE CREUSOT</t>
  </si>
  <si>
    <t>GROUPE SOS - Hôtel-Dieu du Creusot</t>
  </si>
  <si>
    <t>Besancon/Novillars</t>
  </si>
  <si>
    <t>- intervention auprès de public majeur ; 
- intervention au CHU :Services d'urgences du CHU : SAU, urgences traumatologiques,  urgences psychiatriques et dans tous les services de médecine, chirurgie, obstétrique et de psychiatrie. 
- interventions au CH Novillars dans les services intra hospitaliers de psychiatrie</t>
  </si>
  <si>
    <t>- intervention auprès de public majeur ; 
- interventions dans tous les services de l'hopital</t>
  </si>
  <si>
    <t>PONTARLIER</t>
  </si>
  <si>
    <t>03 81 38 61 19</t>
  </si>
  <si>
    <t>Mineurs</t>
  </si>
  <si>
    <t>- intervention auprès de public majeur ; 
- interventions dans l'ensemble des services du CHI-HC ( les 3 services de médecine, le service de chirurgie, la maternité, la pédiatrie néonat., l'UHTCD, les urgences et la psychiatrie)</t>
  </si>
  <si>
    <t>Adresse de l'HDJ</t>
  </si>
  <si>
    <t>Téléphone de l'HDJ</t>
  </si>
  <si>
    <t>Horaires</t>
  </si>
  <si>
    <t>Groupe Hospitalier de la Haute-Saône site de LURE
37 avenue Carnot
70200 LURE</t>
  </si>
  <si>
    <t>88 rue Rambuteau 71000 Mâcon</t>
  </si>
  <si>
    <t>Centre Hospitalier Robert Morlevat 
Service Addictologie
2 Rue du 8 Mai
21 140 Semur en Auxois</t>
  </si>
  <si>
    <t>0380896472</t>
  </si>
  <si>
    <t>Fermé le lundi.
Ouverture du mardi au vendredi (prise en charge à la demi-journée)</t>
  </si>
  <si>
    <t>3 Av Pasteur 21140 Semur-en-Auxois</t>
  </si>
  <si>
    <t>lundi, mardi, jeudi du 9h à 13h</t>
  </si>
  <si>
    <t>SAINT BONNOT</t>
  </si>
  <si>
    <t>Centre médical de la venerie
58210 champlemy</t>
  </si>
  <si>
    <t>10/15H30</t>
  </si>
  <si>
    <t>SERVICE DE PSYCHIATRIE
CH ROBERT MORLEVAT 
SEMUR EN AUXOIS</t>
  </si>
  <si>
    <t>MARDI  MERCREDI  JEUDI  VENDREDI    9h-13h</t>
  </si>
  <si>
    <t>DIJON</t>
  </si>
  <si>
    <t>31 rue marceau DIJON</t>
  </si>
  <si>
    <t>association du Renouveau</t>
  </si>
  <si>
    <t>du lundi au vendredi  de 8h45 à 18h00</t>
  </si>
  <si>
    <t>90400</t>
  </si>
  <si>
    <t>100 route de moval
90400 Trevenans</t>
  </si>
  <si>
    <t>Hôpital Nord Franche-Comté</t>
  </si>
  <si>
    <t>ds.secretariat@hnfc.fr</t>
  </si>
  <si>
    <t>03 84 98 25 51</t>
  </si>
  <si>
    <t>8h - 17h du lundi au vendredi</t>
  </si>
  <si>
    <t>HDJ</t>
  </si>
  <si>
    <t>Etablissements pénitentiers concernés</t>
  </si>
  <si>
    <t>Type d'unité</t>
  </si>
  <si>
    <t>Niveau d'intervention</t>
  </si>
  <si>
    <t>Maison d’arrêt de Lons-le-Saunier</t>
  </si>
  <si>
    <t>03.84.25.49.63</t>
  </si>
  <si>
    <t>Une unité de consultations et de soins ambulatoires (UCSA)</t>
  </si>
  <si>
    <t>De niveau 1 (consultations, prestations et activités ambulatoires)</t>
  </si>
  <si>
    <t>Maison d’arrêt de Belfort;Maison d’arrêt de Montbéliard</t>
  </si>
  <si>
    <t>03.81.91.37.12 Montbéliard et 03.84.21.57.55 Belfort</t>
  </si>
  <si>
    <t>Toutes les SMRA de la région</t>
  </si>
  <si>
    <t>Adresse du SMRA</t>
  </si>
  <si>
    <t>Téléphone du SMRA</t>
  </si>
  <si>
    <t xml:space="preserve">Le SMRA est-il spécialisé sur un type d’addiction ? </t>
  </si>
  <si>
    <t>MIGENNES</t>
  </si>
  <si>
    <t>AIHP-Centre Armançon
18 bis Rue Pierre SEMARD
89400 migennes</t>
  </si>
  <si>
    <t>Alcoolodépendance</t>
  </si>
  <si>
    <t>Centre Hospitalier jean bouverie</t>
  </si>
  <si>
    <t>toutes addictions</t>
  </si>
  <si>
    <t>Centre médical de la Vènerie 58210 saint bonnot</t>
  </si>
  <si>
    <t>non</t>
  </si>
  <si>
    <t>BP 189
71300 montceau les mines</t>
  </si>
  <si>
    <t>03 85 67 60 60</t>
  </si>
  <si>
    <t>toutes les addictions</t>
  </si>
  <si>
    <t>Tout type d'addiction</t>
  </si>
  <si>
    <t xml:space="preserve">'- intervention auprès d'un public majeur ; </t>
  </si>
  <si>
    <t>7 rue de la Demi Lune 39140 BLETTERANS</t>
  </si>
  <si>
    <t>NON</t>
  </si>
  <si>
    <t>centre hospitalier BP189
71307 montceau-les-mines</t>
  </si>
  <si>
    <t>pas de spécialisation</t>
  </si>
  <si>
    <t>Toutes les structures accessibles sur accès direct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</si>
</sst>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31">
    <font>
      <sz val="11"/>
      <color theme="1"/>
      <name val="Calibri"/>
      <family val="2"/>
      <scheme val="minor"/>
    </font>
    <font>
      <sz val="14"/>
      <color theme="1"/>
      <name val="Calibri"/>
      <family val="2"/>
      <scheme val="minor"/>
    </font>
    <font>
      <b/>
      <sz val="14"/>
      <color theme="0"/>
      <name val="Calibri"/>
      <family val="2"/>
      <scheme val="minor"/>
    </font>
    <font>
      <b/>
      <sz val="16"/>
      <color theme="0"/>
      <name val="Calibri"/>
      <family val="2"/>
      <scheme val="minor"/>
    </font>
    <font>
      <b/>
      <sz val="18"/>
      <color theme="0"/>
      <name val="Calibri"/>
      <family val="2"/>
      <scheme val="minor"/>
    </font>
    <font>
      <b/>
      <sz val="14"/>
      <color theme="1"/>
      <name val="Calibri"/>
      <family val="2"/>
      <scheme val="minor"/>
    </font>
    <font>
      <sz val="11"/>
      <color theme="9" tint="0.79998168889431442"/>
      <name val="Calibri"/>
      <family val="2"/>
      <scheme val="minor"/>
    </font>
    <font>
      <b/>
      <sz val="11"/>
      <color theme="1"/>
      <name val="Calibri"/>
      <family val="2"/>
      <scheme val="minor"/>
    </font>
    <font>
      <sz val="8"/>
      <name val="Calibri"/>
      <family val="2"/>
      <scheme val="minor"/>
    </font>
    <font>
      <u/>
      <sz val="11"/>
      <color theme="10"/>
      <name val="Calibri"/>
      <family val="2"/>
      <scheme val="minor"/>
    </font>
    <font>
      <i/>
      <sz val="11"/>
      <color theme="1"/>
      <name val="Calibri"/>
      <family val="2"/>
      <scheme val="minor"/>
    </font>
    <font>
      <i/>
      <sz val="10"/>
      <color theme="1"/>
      <name val="Calibri"/>
      <family val="2"/>
      <scheme val="minor"/>
    </font>
    <font>
      <sz val="11"/>
      <name val="Calibri"/>
      <family val="2"/>
      <scheme val="minor"/>
    </font>
    <font>
      <i/>
      <sz val="11"/>
      <name val="Calibri"/>
      <family val="2"/>
      <scheme val="minor"/>
    </font>
    <font>
      <b/>
      <i/>
      <sz val="11"/>
      <color theme="1"/>
      <name val="Calibri"/>
      <family val="2"/>
      <scheme val="minor"/>
    </font>
    <font>
      <u/>
      <sz val="11"/>
      <name val="Calibri"/>
      <family val="2"/>
      <scheme val="minor"/>
    </font>
    <font>
      <b/>
      <i/>
      <sz val="11"/>
      <color rgb="FFC00000"/>
      <name val="Calibri"/>
      <family val="2"/>
      <scheme val="minor"/>
    </font>
    <font>
      <strike/>
      <sz val="11"/>
      <color theme="1"/>
      <name val="Calibri"/>
      <family val="2"/>
      <scheme val="minor"/>
    </font>
    <font>
      <b/>
      <sz val="11"/>
      <name val="Calibri"/>
      <family val="2"/>
      <scheme val="minor"/>
    </font>
    <font>
      <sz val="11"/>
      <name val="Calibri"/>
      <family val="2"/>
    </font>
    <font>
      <sz val="11"/>
      <name val="Sansation"/>
    </font>
    <font>
      <sz val="10"/>
      <name val="Calibri"/>
      <family val="2"/>
      <scheme val="minor"/>
    </font>
    <font>
      <u/>
      <sz val="11"/>
      <color theme="4"/>
      <name val="Calibri"/>
      <family val="2"/>
      <scheme val="minor"/>
    </font>
    <font>
      <sz val="11"/>
      <color theme="4"/>
      <name val="Calibri"/>
      <family val="2"/>
      <scheme val="minor"/>
    </font>
    <font>
      <u/>
      <sz val="11"/>
      <color theme="4"/>
      <name val="Calibri"/>
      <family val="2"/>
    </font>
    <font>
      <u/>
      <sz val="11"/>
      <color rgb="FF0070C0"/>
      <name val="Calibri"/>
      <family val="2"/>
      <scheme val="minor"/>
    </font>
    <font>
      <i/>
      <u/>
      <sz val="11"/>
      <color theme="4"/>
      <name val="Calibri"/>
      <family val="2"/>
      <scheme val="minor"/>
    </font>
    <font>
      <i/>
      <u/>
      <sz val="11"/>
      <color theme="10"/>
      <name val="Calibri"/>
      <family val="2"/>
      <scheme val="minor"/>
    </font>
    <font>
      <sz val="11"/>
      <color rgb="FF0070C0"/>
      <name val="Calibri"/>
      <family val="2"/>
      <scheme val="minor"/>
    </font>
    <font>
      <b/>
      <sz val="11"/>
      <color rgb="FF0070C0"/>
      <name val="Calibri"/>
      <family val="2"/>
      <scheme val="minor"/>
    </font>
    <font>
      <sz val="11"/>
      <name val="Calibri"/>
      <family val="2"/>
      <scheme val="minor"/>
    </font>
  </fonts>
  <fills count="63">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FF"/>
        <bgColor rgb="FF000000"/>
      </patternFill>
    </fill>
    <fill>
      <patternFill patternType="mediumGray">
        <fgColor theme="0" tint="-0.34998626667073579"/>
        <bgColor indexed="65"/>
      </patternFill>
    </fill>
    <fill>
      <patternFill patternType="solid">
        <fgColor rgb="FF7030A0"/>
        <bgColor indexed="64"/>
      </patternFill>
    </fill>
    <fill>
      <patternFill patternType="solid">
        <fgColor rgb="FFDCC5ED"/>
        <bgColor indexed="64"/>
      </patternFill>
    </fill>
    <fill>
      <patternFill patternType="lightUp">
        <fgColor theme="0"/>
        <bgColor theme="0" tint="-0.14996795556505021"/>
      </patternFill>
    </fill>
    <fill>
      <patternFill patternType="solid">
        <fgColor rgb="FFFDF0E9"/>
        <bgColor theme="0"/>
      </patternFill>
    </fill>
    <fill>
      <patternFill patternType="solid">
        <fgColor rgb="FFE4D2F2"/>
        <bgColor indexed="64"/>
      </patternFill>
    </fill>
    <fill>
      <patternFill patternType="solid">
        <fgColor rgb="FFFFFFD1"/>
        <bgColor indexed="64"/>
      </patternFill>
    </fill>
    <fill>
      <patternFill patternType="solid">
        <fgColor rgb="FFE4F0DC"/>
        <bgColor indexed="64"/>
      </patternFill>
    </fill>
    <fill>
      <patternFill patternType="solid">
        <fgColor rgb="FFCCECFF"/>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rgb="FFFFCCCC"/>
        <bgColor indexed="64"/>
      </patternFill>
    </fill>
    <fill>
      <patternFill patternType="solid">
        <fgColor rgb="FFFDF0E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CCECFF"/>
        <bgColor theme="0"/>
      </patternFill>
    </fill>
    <fill>
      <patternFill patternType="lightUp">
        <fgColor theme="0"/>
        <bgColor rgb="FFCCECFF"/>
      </patternFill>
    </fill>
    <fill>
      <patternFill patternType="solid">
        <fgColor theme="8" tint="0.39997558519241921"/>
        <bgColor theme="0"/>
      </patternFill>
    </fill>
    <fill>
      <patternFill patternType="solid">
        <fgColor theme="3" tint="0.79998168889431442"/>
        <bgColor theme="0"/>
      </patternFill>
    </fill>
    <fill>
      <patternFill patternType="solid">
        <fgColor rgb="FFFFCCCC"/>
        <bgColor theme="0"/>
      </patternFill>
    </fill>
    <fill>
      <patternFill patternType="solid">
        <fgColor rgb="FFE4D2F2"/>
        <bgColor theme="0"/>
      </patternFill>
    </fill>
    <fill>
      <patternFill patternType="solid">
        <fgColor theme="7" tint="0.59999389629810485"/>
        <bgColor theme="0"/>
      </patternFill>
    </fill>
    <fill>
      <patternFill patternType="solid">
        <fgColor rgb="FFFFFFD1"/>
        <bgColor theme="0"/>
      </patternFill>
    </fill>
    <fill>
      <patternFill patternType="solid">
        <fgColor theme="5" tint="0.59999389629810485"/>
        <bgColor theme="0"/>
      </patternFill>
    </fill>
    <fill>
      <patternFill patternType="solid">
        <fgColor theme="9" tint="0.59999389629810485"/>
        <bgColor theme="0"/>
      </patternFill>
    </fill>
    <fill>
      <patternFill patternType="solid">
        <fgColor rgb="FFCCECFF"/>
        <bgColor rgb="FF000000"/>
      </patternFill>
    </fill>
    <fill>
      <patternFill patternType="solid">
        <fgColor theme="0"/>
        <bgColor theme="0"/>
      </patternFill>
    </fill>
    <fill>
      <patternFill patternType="lightUp">
        <fgColor theme="0"/>
        <bgColor rgb="FFE4D2F2"/>
      </patternFill>
    </fill>
    <fill>
      <patternFill patternType="lightUp">
        <fgColor theme="0"/>
        <bgColor theme="0"/>
      </patternFill>
    </fill>
    <fill>
      <patternFill patternType="solid">
        <fgColor theme="0"/>
        <bgColor rgb="FF000000"/>
      </patternFill>
    </fill>
    <fill>
      <patternFill patternType="solid">
        <fgColor rgb="FFFFCCCC"/>
        <bgColor rgb="FF000000"/>
      </patternFill>
    </fill>
    <fill>
      <patternFill patternType="solid">
        <fgColor rgb="FFFFCCCC"/>
        <bgColor rgb="FFFFFFFF"/>
      </patternFill>
    </fill>
    <fill>
      <patternFill patternType="solid">
        <fgColor rgb="FFFDF0E9"/>
        <bgColor rgb="FFFFFFFF"/>
      </patternFill>
    </fill>
    <fill>
      <patternFill patternType="lightUp">
        <fgColor rgb="FFFFFFFF"/>
        <bgColor rgb="FFD9D9D9"/>
      </patternFill>
    </fill>
    <fill>
      <patternFill patternType="solid">
        <fgColor rgb="FFE4D2F2"/>
        <bgColor rgb="FFFFFFFF"/>
      </patternFill>
    </fill>
    <fill>
      <patternFill patternType="solid">
        <fgColor rgb="FFFFFFD1"/>
        <bgColor rgb="FFFFFFFF"/>
      </patternFill>
    </fill>
    <fill>
      <patternFill patternType="solid">
        <fgColor rgb="FFF8CBAD"/>
        <bgColor rgb="FFFFFFFF"/>
      </patternFill>
    </fill>
    <fill>
      <patternFill patternType="lightUp">
        <fgColor theme="0"/>
        <bgColor rgb="FFFDF0E9"/>
      </patternFill>
    </fill>
    <fill>
      <patternFill patternType="lightUp">
        <fgColor theme="0"/>
        <bgColor theme="2" tint="-9.9978637043366805E-2"/>
      </patternFill>
    </fill>
    <fill>
      <patternFill patternType="solid">
        <fgColor rgb="FFE3E7ED"/>
        <bgColor indexed="64"/>
      </patternFill>
    </fill>
    <fill>
      <patternFill patternType="solid">
        <fgColor rgb="FFE3E7ED"/>
        <bgColor theme="0"/>
      </patternFill>
    </fill>
    <fill>
      <patternFill patternType="lightUp">
        <fgColor theme="0"/>
        <bgColor rgb="FFE3E7ED"/>
      </patternFill>
    </fill>
    <fill>
      <patternFill patternType="solid">
        <fgColor rgb="FFFDF0E9"/>
        <bgColor rgb="FF000000"/>
      </patternFill>
    </fill>
    <fill>
      <patternFill patternType="solid">
        <fgColor theme="5" tint="0.59999389629810485"/>
        <bgColor rgb="FFFFFFFF"/>
      </patternFill>
    </fill>
    <fill>
      <patternFill patternType="solid">
        <fgColor theme="6" tint="0.59999389629810485"/>
        <bgColor indexed="64"/>
      </patternFill>
    </fill>
    <fill>
      <patternFill patternType="solid">
        <fgColor theme="6" tint="0.59999389629810485"/>
        <bgColor theme="0"/>
      </patternFill>
    </fill>
    <fill>
      <patternFill patternType="solid">
        <fgColor theme="8" tint="0.39997558519241921"/>
        <bgColor rgb="FF000000"/>
      </patternFill>
    </fill>
    <fill>
      <patternFill patternType="lightUp">
        <fgColor theme="0"/>
        <bgColor theme="6" tint="0.59999389629810485"/>
      </patternFill>
    </fill>
    <fill>
      <patternFill patternType="solid">
        <fgColor theme="2" tint="-9.9978637043366805E-2"/>
        <bgColor indexed="64"/>
      </patternFill>
    </fill>
    <fill>
      <patternFill patternType="solid">
        <fgColor theme="2" tint="-9.9978637043366805E-2"/>
        <bgColor theme="0"/>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s>
  <cellStyleXfs count="3">
    <xf numFmtId="0" fontId="0" fillId="0" borderId="0"/>
    <xf numFmtId="0" fontId="9" fillId="0" borderId="0" applyNumberFormat="0" applyFill="0" applyBorder="0" applyAlignment="0" applyProtection="0"/>
    <xf numFmtId="0" fontId="9" fillId="0" borderId="0" applyNumberFormat="0" applyFill="0" applyBorder="0" applyAlignment="0" applyProtection="0"/>
  </cellStyleXfs>
  <cellXfs count="620">
    <xf numFmtId="0" fontId="0" fillId="0" borderId="0" xfId="0"/>
    <xf numFmtId="0" fontId="0" fillId="2" borderId="0" xfId="0" applyFill="1"/>
    <xf numFmtId="0" fontId="0" fillId="2" borderId="5" xfId="0" applyFill="1" applyBorder="1"/>
    <xf numFmtId="0" fontId="0" fillId="2" borderId="6" xfId="0" applyFill="1" applyBorder="1"/>
    <xf numFmtId="0" fontId="1" fillId="2" borderId="5" xfId="0" applyFont="1" applyFill="1" applyBorder="1"/>
    <xf numFmtId="0" fontId="0" fillId="2" borderId="7" xfId="0" applyFill="1" applyBorder="1"/>
    <xf numFmtId="0" fontId="0" fillId="2" borderId="8" xfId="0" applyFill="1" applyBorder="1"/>
    <xf numFmtId="0" fontId="0" fillId="2" borderId="9" xfId="0" applyFill="1" applyBorder="1"/>
    <xf numFmtId="0" fontId="0" fillId="7" borderId="0" xfId="0" applyFill="1"/>
    <xf numFmtId="0" fontId="0" fillId="7" borderId="0" xfId="0" applyFill="1" applyAlignment="1">
      <alignment horizontal="center" vertical="center" wrapText="1"/>
    </xf>
    <xf numFmtId="0" fontId="6" fillId="9" borderId="2" xfId="0" applyFont="1" applyFill="1" applyBorder="1"/>
    <xf numFmtId="0" fontId="6" fillId="9" borderId="3" xfId="0" applyFont="1" applyFill="1" applyBorder="1"/>
    <xf numFmtId="0" fontId="6" fillId="9" borderId="4" xfId="0" applyFont="1" applyFill="1" applyBorder="1"/>
    <xf numFmtId="0" fontId="6" fillId="9" borderId="5" xfId="0" applyFont="1" applyFill="1" applyBorder="1"/>
    <xf numFmtId="0" fontId="6" fillId="9" borderId="0" xfId="0" applyFont="1" applyFill="1"/>
    <xf numFmtId="0" fontId="6" fillId="9" borderId="6" xfId="0" applyFont="1" applyFill="1" applyBorder="1"/>
    <xf numFmtId="0" fontId="0" fillId="9" borderId="6" xfId="0" applyFill="1" applyBorder="1"/>
    <xf numFmtId="0" fontId="6" fillId="9" borderId="9" xfId="0" applyFont="1" applyFill="1" applyBorder="1"/>
    <xf numFmtId="0" fontId="6" fillId="9" borderId="7" xfId="0" applyFont="1" applyFill="1" applyBorder="1"/>
    <xf numFmtId="0" fontId="6" fillId="9" borderId="8" xfId="0" applyFont="1" applyFill="1" applyBorder="1"/>
    <xf numFmtId="0" fontId="0" fillId="10" borderId="0" xfId="0" applyFill="1"/>
    <xf numFmtId="0" fontId="0" fillId="10" borderId="0" xfId="0" applyFill="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0" fillId="0" borderId="1" xfId="0" applyBorder="1" applyAlignment="1">
      <alignment horizontal="left" vertical="center"/>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2" xfId="0" applyFill="1" applyBorder="1" applyAlignment="1">
      <alignment horizontal="left" vertical="center" wrapText="1"/>
    </xf>
    <xf numFmtId="0" fontId="0" fillId="2" borderId="7" xfId="0" applyFill="1" applyBorder="1" applyAlignment="1">
      <alignment horizontal="left" vertical="center" wrapText="1"/>
    </xf>
    <xf numFmtId="0" fontId="9" fillId="0" borderId="1" xfId="1" applyBorder="1" applyAlignment="1">
      <alignment horizontal="left" vertical="center" wrapText="1"/>
    </xf>
    <xf numFmtId="0" fontId="0" fillId="12" borderId="1" xfId="0" applyFill="1" applyBorder="1" applyAlignment="1">
      <alignment horizontal="left" vertical="center" wrapText="1"/>
    </xf>
    <xf numFmtId="0" fontId="9" fillId="0" borderId="12" xfId="1" applyBorder="1" applyAlignment="1">
      <alignment horizontal="left" vertical="center" wrapText="1"/>
    </xf>
    <xf numFmtId="0" fontId="0" fillId="12" borderId="12" xfId="0" applyFill="1" applyBorder="1" applyAlignment="1">
      <alignment horizontal="left" vertical="center" wrapText="1"/>
    </xf>
    <xf numFmtId="0" fontId="0" fillId="0" borderId="12" xfId="0" applyBorder="1" applyAlignment="1">
      <alignment horizontal="left" vertical="center" wrapText="1"/>
    </xf>
    <xf numFmtId="0" fontId="0" fillId="0" borderId="12" xfId="0" applyBorder="1" applyAlignment="1">
      <alignment horizontal="left" vertical="center"/>
    </xf>
    <xf numFmtId="0" fontId="9" fillId="2" borderId="1" xfId="1" applyFill="1" applyBorder="1" applyAlignment="1">
      <alignment horizontal="left" vertical="center" wrapText="1"/>
    </xf>
    <xf numFmtId="0" fontId="9" fillId="2" borderId="12" xfId="1" applyFill="1" applyBorder="1" applyAlignment="1">
      <alignment horizontal="left" vertical="center" wrapText="1"/>
    </xf>
    <xf numFmtId="0" fontId="0" fillId="0" borderId="1" xfId="0" applyBorder="1" applyAlignment="1">
      <alignment vertical="center" wrapText="1"/>
    </xf>
    <xf numFmtId="0" fontId="0" fillId="2" borderId="0" xfId="0" applyFill="1" applyAlignment="1">
      <alignment horizontal="left" vertical="center" wrapText="1"/>
    </xf>
    <xf numFmtId="0" fontId="0" fillId="11" borderId="0" xfId="0" applyFill="1" applyAlignment="1">
      <alignment horizontal="left" vertical="center" wrapText="1"/>
    </xf>
    <xf numFmtId="0" fontId="0" fillId="2" borderId="0" xfId="0" applyFill="1" applyAlignment="1">
      <alignment horizontal="left" vertical="center"/>
    </xf>
    <xf numFmtId="0" fontId="0" fillId="11" borderId="0" xfId="0" applyFill="1" applyAlignment="1">
      <alignment horizontal="left" vertical="center"/>
    </xf>
    <xf numFmtId="0" fontId="0" fillId="0" borderId="0" xfId="0" applyAlignment="1">
      <alignment horizontal="left" vertical="center" wrapText="1"/>
    </xf>
    <xf numFmtId="0" fontId="0" fillId="2" borderId="0" xfId="0" applyFill="1" applyAlignment="1">
      <alignment wrapText="1"/>
    </xf>
    <xf numFmtId="0" fontId="0" fillId="14" borderId="0" xfId="0" applyFill="1"/>
    <xf numFmtId="0" fontId="0" fillId="14" borderId="0" xfId="0" applyFill="1" applyAlignment="1">
      <alignment horizontal="center" vertical="center" wrapText="1"/>
    </xf>
    <xf numFmtId="0" fontId="0" fillId="2" borderId="4" xfId="0" applyFill="1" applyBorder="1" applyAlignment="1">
      <alignment horizontal="left" vertical="center" wrapText="1"/>
    </xf>
    <xf numFmtId="0" fontId="0" fillId="11" borderId="10" xfId="0" quotePrefix="1" applyFill="1" applyBorder="1" applyAlignment="1">
      <alignment horizontal="left" vertical="center" wrapText="1"/>
    </xf>
    <xf numFmtId="0" fontId="0" fillId="11" borderId="1" xfId="0" applyFill="1" applyBorder="1" applyAlignment="1">
      <alignment horizontal="left" vertical="center"/>
    </xf>
    <xf numFmtId="0" fontId="0" fillId="11" borderId="1" xfId="0" quotePrefix="1" applyFill="1" applyBorder="1" applyAlignment="1">
      <alignment horizontal="left" vertical="center"/>
    </xf>
    <xf numFmtId="0" fontId="2" fillId="3" borderId="0" xfId="0" applyFont="1" applyFill="1" applyAlignment="1">
      <alignment vertical="center"/>
    </xf>
    <xf numFmtId="0" fontId="0" fillId="2" borderId="10" xfId="0" quotePrefix="1" applyFill="1" applyBorder="1" applyAlignment="1">
      <alignment horizontal="left" vertical="center" wrapText="1"/>
    </xf>
    <xf numFmtId="0" fontId="0" fillId="2" borderId="1" xfId="0" quotePrefix="1" applyFill="1" applyBorder="1" applyAlignment="1">
      <alignment horizontal="left" vertical="center" wrapText="1"/>
    </xf>
    <xf numFmtId="0" fontId="0" fillId="2" borderId="12" xfId="0" quotePrefix="1" applyFill="1" applyBorder="1" applyAlignment="1">
      <alignment horizontal="left" vertical="center" wrapText="1"/>
    </xf>
    <xf numFmtId="0" fontId="0" fillId="0" borderId="1" xfId="0" quotePrefix="1" applyBorder="1" applyAlignment="1">
      <alignment wrapText="1"/>
    </xf>
    <xf numFmtId="0" fontId="0" fillId="11" borderId="12" xfId="0" quotePrefix="1" applyFill="1" applyBorder="1" applyAlignment="1">
      <alignment horizontal="left" vertical="center"/>
    </xf>
    <xf numFmtId="0" fontId="7" fillId="6"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16" borderId="1" xfId="1" applyFont="1" applyFill="1" applyBorder="1" applyAlignment="1">
      <alignment horizontal="center" vertical="center" wrapText="1"/>
    </xf>
    <xf numFmtId="0" fontId="0" fillId="16" borderId="10" xfId="0" quotePrefix="1" applyFill="1" applyBorder="1" applyAlignment="1">
      <alignment horizontal="center" vertical="center" wrapText="1"/>
    </xf>
    <xf numFmtId="0" fontId="9" fillId="16" borderId="12" xfId="1" applyFill="1" applyBorder="1" applyAlignment="1">
      <alignment horizontal="center" vertical="center" wrapText="1"/>
    </xf>
    <xf numFmtId="0" fontId="0" fillId="15" borderId="12" xfId="0" applyFill="1" applyBorder="1" applyAlignment="1">
      <alignment horizontal="center" vertical="center" wrapText="1"/>
    </xf>
    <xf numFmtId="0" fontId="11" fillId="7" borderId="0" xfId="0" applyFont="1" applyFill="1" applyAlignment="1">
      <alignment vertical="center" wrapText="1"/>
    </xf>
    <xf numFmtId="0" fontId="0" fillId="10" borderId="0" xfId="0"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7" fillId="19" borderId="10" xfId="0" applyFont="1" applyFill="1" applyBorder="1" applyAlignment="1">
      <alignment horizontal="center" vertical="center" wrapText="1"/>
    </xf>
    <xf numFmtId="0" fontId="7" fillId="19" borderId="13" xfId="0" applyFont="1" applyFill="1" applyBorder="1" applyAlignment="1">
      <alignment horizontal="center" vertical="center" wrapText="1"/>
    </xf>
    <xf numFmtId="0" fontId="13" fillId="20" borderId="1" xfId="0" applyFont="1" applyFill="1" applyBorder="1"/>
    <xf numFmtId="0" fontId="10" fillId="21" borderId="1" xfId="0" applyFont="1" applyFill="1" applyBorder="1"/>
    <xf numFmtId="0" fontId="10" fillId="22" borderId="1" xfId="0" applyFont="1" applyFill="1" applyBorder="1"/>
    <xf numFmtId="0" fontId="10" fillId="23" borderId="1" xfId="0" applyFont="1" applyFill="1" applyBorder="1"/>
    <xf numFmtId="0" fontId="10" fillId="24" borderId="1" xfId="0" applyFont="1" applyFill="1" applyBorder="1"/>
    <xf numFmtId="0" fontId="10" fillId="17" borderId="1" xfId="0" applyFont="1" applyFill="1" applyBorder="1"/>
    <xf numFmtId="0" fontId="0" fillId="18" borderId="1" xfId="0" applyFill="1" applyBorder="1"/>
    <xf numFmtId="0" fontId="0" fillId="25" borderId="1" xfId="0" applyFill="1" applyBorder="1"/>
    <xf numFmtId="0" fontId="0" fillId="7" borderId="1" xfId="0" applyFill="1" applyBorder="1"/>
    <xf numFmtId="0" fontId="0" fillId="26" borderId="1" xfId="0" applyFill="1" applyBorder="1"/>
    <xf numFmtId="0" fontId="0" fillId="20" borderId="1" xfId="0" applyFill="1" applyBorder="1" applyAlignment="1">
      <alignment horizontal="center" vertical="center" wrapText="1"/>
    </xf>
    <xf numFmtId="0" fontId="9" fillId="27" borderId="1" xfId="1" applyFill="1" applyBorder="1" applyAlignment="1">
      <alignment horizontal="center" vertical="center" wrapText="1"/>
    </xf>
    <xf numFmtId="0" fontId="0" fillId="20" borderId="12" xfId="0" applyFill="1" applyBorder="1" applyAlignment="1">
      <alignment horizontal="center" vertical="center" wrapText="1"/>
    </xf>
    <xf numFmtId="164" fontId="0" fillId="20" borderId="12" xfId="0" applyNumberFormat="1" applyFill="1" applyBorder="1" applyAlignment="1">
      <alignment horizontal="center" vertical="center" wrapText="1"/>
    </xf>
    <xf numFmtId="0" fontId="0" fillId="27" borderId="10" xfId="0" applyFill="1" applyBorder="1" applyAlignment="1">
      <alignment horizontal="center" vertical="center" wrapText="1"/>
    </xf>
    <xf numFmtId="0" fontId="0" fillId="21" borderId="1" xfId="0" applyFill="1" applyBorder="1" applyAlignment="1">
      <alignment horizontal="center" vertical="center" wrapText="1"/>
    </xf>
    <xf numFmtId="0" fontId="0" fillId="22" borderId="1" xfId="0" applyFill="1" applyBorder="1" applyAlignment="1">
      <alignment horizontal="center" vertical="center" wrapText="1"/>
    </xf>
    <xf numFmtId="0" fontId="9" fillId="30" borderId="12" xfId="1" applyFill="1" applyBorder="1" applyAlignment="1">
      <alignment horizontal="center" vertical="center" wrapText="1"/>
    </xf>
    <xf numFmtId="164" fontId="0" fillId="30" borderId="12" xfId="0" applyNumberFormat="1" applyFill="1" applyBorder="1" applyAlignment="1">
      <alignment horizontal="center" vertical="center" wrapText="1"/>
    </xf>
    <xf numFmtId="0" fontId="0" fillId="30" borderId="10" xfId="0" quotePrefix="1" applyFill="1" applyBorder="1" applyAlignment="1">
      <alignment horizontal="center" vertical="center" wrapText="1"/>
    </xf>
    <xf numFmtId="0" fontId="12" fillId="32" borderId="1" xfId="0" applyFont="1" applyFill="1" applyBorder="1" applyAlignment="1">
      <alignment horizontal="center" vertical="center" wrapText="1"/>
    </xf>
    <xf numFmtId="0" fontId="0" fillId="32" borderId="10" xfId="0" quotePrefix="1" applyFill="1" applyBorder="1" applyAlignment="1">
      <alignment horizontal="center" vertical="center" wrapText="1"/>
    </xf>
    <xf numFmtId="0" fontId="12" fillId="33" borderId="1" xfId="1" applyFont="1" applyFill="1" applyBorder="1" applyAlignment="1">
      <alignment horizontal="center" vertical="center" wrapText="1"/>
    </xf>
    <xf numFmtId="0" fontId="12" fillId="27" borderId="1" xfId="0" applyFont="1" applyFill="1" applyBorder="1" applyAlignment="1">
      <alignment horizontal="center" vertical="center" wrapText="1"/>
    </xf>
    <xf numFmtId="0" fontId="9" fillId="27" borderId="12" xfId="1" applyFill="1" applyBorder="1" applyAlignment="1">
      <alignment horizontal="center" vertical="center" wrapText="1"/>
    </xf>
    <xf numFmtId="164" fontId="0" fillId="27" borderId="12" xfId="0" applyNumberFormat="1" applyFill="1" applyBorder="1" applyAlignment="1">
      <alignment horizontal="center" vertical="center" wrapText="1"/>
    </xf>
    <xf numFmtId="0" fontId="0" fillId="27" borderId="12" xfId="0" applyFill="1" applyBorder="1" applyAlignment="1">
      <alignment horizontal="center" vertical="center" wrapText="1"/>
    </xf>
    <xf numFmtId="0" fontId="12" fillId="27" borderId="12" xfId="0" applyFont="1" applyFill="1" applyBorder="1" applyAlignment="1">
      <alignment horizontal="center" vertical="center" wrapText="1"/>
    </xf>
    <xf numFmtId="0" fontId="0" fillId="27" borderId="10" xfId="0" quotePrefix="1" applyFill="1" applyBorder="1" applyAlignment="1">
      <alignment horizontal="center" vertical="center" wrapText="1"/>
    </xf>
    <xf numFmtId="0" fontId="0" fillId="20" borderId="10" xfId="0" applyFill="1" applyBorder="1" applyAlignment="1">
      <alignment horizontal="center" vertical="center" wrapText="1"/>
    </xf>
    <xf numFmtId="0" fontId="9" fillId="29" borderId="1" xfId="1" applyFill="1" applyBorder="1" applyAlignment="1">
      <alignment horizontal="center" vertical="center" wrapText="1"/>
    </xf>
    <xf numFmtId="0" fontId="12" fillId="23" borderId="1" xfId="0" applyFont="1" applyFill="1" applyBorder="1" applyAlignment="1">
      <alignment horizontal="center" vertical="center" wrapText="1"/>
    </xf>
    <xf numFmtId="0" fontId="0" fillId="5" borderId="2" xfId="0" applyFill="1" applyBorder="1"/>
    <xf numFmtId="0" fontId="0" fillId="5" borderId="3" xfId="0" applyFill="1" applyBorder="1"/>
    <xf numFmtId="0" fontId="0" fillId="5" borderId="5" xfId="0" applyFill="1" applyBorder="1"/>
    <xf numFmtId="0" fontId="14" fillId="5" borderId="0" xfId="0" applyFont="1" applyFill="1"/>
    <xf numFmtId="0" fontId="10" fillId="5" borderId="0" xfId="0" applyFont="1" applyFill="1"/>
    <xf numFmtId="0" fontId="0" fillId="5" borderId="0" xfId="0" applyFill="1"/>
    <xf numFmtId="0" fontId="0" fillId="5" borderId="7" xfId="0" applyFill="1" applyBorder="1"/>
    <xf numFmtId="0" fontId="0" fillId="5" borderId="8" xfId="0" applyFill="1" applyBorder="1"/>
    <xf numFmtId="0" fontId="0" fillId="5" borderId="4" xfId="0" applyFill="1" applyBorder="1"/>
    <xf numFmtId="0" fontId="10" fillId="5" borderId="6" xfId="0" applyFont="1" applyFill="1" applyBorder="1"/>
    <xf numFmtId="0" fontId="0" fillId="5" borderId="6" xfId="0" applyFill="1" applyBorder="1"/>
    <xf numFmtId="0" fontId="0" fillId="5" borderId="9" xfId="0" applyFill="1" applyBorder="1"/>
    <xf numFmtId="0" fontId="12" fillId="34" borderId="1" xfId="1" applyFont="1" applyFill="1" applyBorder="1" applyAlignment="1">
      <alignment horizontal="center" vertical="center" wrapText="1"/>
    </xf>
    <xf numFmtId="0" fontId="12" fillId="34"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33" borderId="1" xfId="0" applyFont="1" applyFill="1" applyBorder="1" applyAlignment="1">
      <alignment horizontal="center" vertical="center" wrapText="1"/>
    </xf>
    <xf numFmtId="0" fontId="12" fillId="16" borderId="1" xfId="1" applyFont="1" applyFill="1" applyBorder="1" applyAlignment="1">
      <alignment horizontal="center" vertical="center" wrapText="1"/>
    </xf>
    <xf numFmtId="0" fontId="12" fillId="31" borderId="1" xfId="0" applyFont="1" applyFill="1" applyBorder="1" applyAlignment="1">
      <alignment horizontal="center" vertical="center" wrapText="1"/>
    </xf>
    <xf numFmtId="0" fontId="12" fillId="31" borderId="10" xfId="0" applyFont="1" applyFill="1" applyBorder="1" applyAlignment="1">
      <alignment horizontal="center" vertical="center" wrapText="1"/>
    </xf>
    <xf numFmtId="0" fontId="10" fillId="7" borderId="0" xfId="0" applyFont="1" applyFill="1"/>
    <xf numFmtId="0" fontId="10" fillId="2" borderId="0" xfId="0" applyFont="1" applyFill="1"/>
    <xf numFmtId="0" fontId="0" fillId="38" borderId="0" xfId="0" applyFill="1" applyAlignment="1">
      <alignment horizontal="center" vertical="center" wrapText="1"/>
    </xf>
    <xf numFmtId="0" fontId="0" fillId="15" borderId="10" xfId="0" applyFill="1" applyBorder="1" applyAlignment="1">
      <alignment horizontal="center" vertical="center" wrapText="1"/>
    </xf>
    <xf numFmtId="0" fontId="0" fillId="31" borderId="10" xfId="0" applyFill="1" applyBorder="1" applyAlignment="1">
      <alignment horizontal="center" vertical="center" wrapText="1"/>
    </xf>
    <xf numFmtId="0" fontId="0" fillId="23" borderId="1" xfId="0" applyFill="1" applyBorder="1" applyAlignment="1">
      <alignment horizontal="center" vertical="center" wrapText="1"/>
    </xf>
    <xf numFmtId="0" fontId="9" fillId="31" borderId="12" xfId="1" applyFill="1" applyBorder="1" applyAlignment="1">
      <alignment horizontal="center" vertical="center" wrapText="1"/>
    </xf>
    <xf numFmtId="164" fontId="0" fillId="31" borderId="12" xfId="0" applyNumberFormat="1" applyFill="1" applyBorder="1" applyAlignment="1">
      <alignment horizontal="center" vertical="center" wrapText="1"/>
    </xf>
    <xf numFmtId="0" fontId="0" fillId="32" borderId="1" xfId="0" applyFill="1" applyBorder="1" applyAlignment="1">
      <alignment horizontal="center" vertical="center" wrapText="1"/>
    </xf>
    <xf numFmtId="0" fontId="9" fillId="32" borderId="12" xfId="1" applyFill="1" applyBorder="1" applyAlignment="1">
      <alignment horizontal="center" vertical="center" wrapText="1"/>
    </xf>
    <xf numFmtId="0" fontId="12" fillId="15" borderId="10"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15" fillId="27" borderId="1" xfId="1" applyFont="1" applyFill="1" applyBorder="1" applyAlignment="1">
      <alignment horizontal="center" vertical="center" wrapText="1"/>
    </xf>
    <xf numFmtId="0" fontId="12" fillId="2" borderId="0" xfId="0" applyFont="1" applyFill="1" applyAlignment="1">
      <alignment horizontal="center" vertical="center"/>
    </xf>
    <xf numFmtId="0" fontId="12" fillId="7" borderId="0" xfId="0" applyFont="1" applyFill="1" applyAlignment="1">
      <alignment horizontal="center" vertical="center"/>
    </xf>
    <xf numFmtId="0" fontId="12" fillId="38" borderId="15" xfId="0" applyFont="1" applyFill="1" applyBorder="1" applyAlignment="1">
      <alignment horizontal="center" vertical="center" wrapText="1"/>
    </xf>
    <xf numFmtId="0" fontId="0" fillId="14" borderId="0" xfId="0" applyFill="1" applyAlignment="1">
      <alignment vertical="center"/>
    </xf>
    <xf numFmtId="0" fontId="0" fillId="2" borderId="0" xfId="0" applyFill="1" applyAlignment="1">
      <alignment vertical="center"/>
    </xf>
    <xf numFmtId="0" fontId="0" fillId="14" borderId="0" xfId="0" applyFill="1" applyAlignment="1">
      <alignment horizontal="center" vertical="center"/>
    </xf>
    <xf numFmtId="0" fontId="0" fillId="17" borderId="0" xfId="0" applyFill="1"/>
    <xf numFmtId="164" fontId="0" fillId="16" borderId="12" xfId="0" applyNumberFormat="1" applyFill="1" applyBorder="1" applyAlignment="1">
      <alignment horizontal="center" vertical="center" wrapText="1"/>
    </xf>
    <xf numFmtId="164" fontId="0" fillId="32" borderId="12" xfId="0" applyNumberFormat="1" applyFill="1" applyBorder="1" applyAlignment="1">
      <alignment horizontal="center" vertical="center" wrapText="1"/>
    </xf>
    <xf numFmtId="0" fontId="7" fillId="6" borderId="11" xfId="0" applyFont="1" applyFill="1" applyBorder="1" applyAlignment="1">
      <alignment horizontal="center" vertical="center" wrapText="1"/>
    </xf>
    <xf numFmtId="0" fontId="0" fillId="38" borderId="15" xfId="0" applyFill="1" applyBorder="1" applyAlignment="1">
      <alignment horizontal="center" vertical="center" wrapText="1"/>
    </xf>
    <xf numFmtId="0" fontId="9" fillId="2" borderId="0" xfId="1" applyFill="1" applyBorder="1" applyAlignment="1">
      <alignment horizontal="center" vertical="center" wrapText="1"/>
    </xf>
    <xf numFmtId="164" fontId="0" fillId="2" borderId="0" xfId="0" applyNumberFormat="1" applyFill="1" applyAlignment="1">
      <alignment horizontal="center" vertical="center" wrapText="1"/>
    </xf>
    <xf numFmtId="0" fontId="9" fillId="38" borderId="0" xfId="1" applyFill="1" applyBorder="1" applyAlignment="1">
      <alignment horizontal="center" vertical="center" wrapText="1"/>
    </xf>
    <xf numFmtId="0" fontId="0" fillId="40" borderId="0" xfId="0" applyFill="1" applyAlignment="1">
      <alignment horizontal="center" vertical="center" wrapText="1"/>
    </xf>
    <xf numFmtId="0" fontId="0" fillId="38" borderId="0" xfId="0" quotePrefix="1" applyFill="1" applyAlignment="1">
      <alignment horizontal="center" vertical="center" wrapText="1"/>
    </xf>
    <xf numFmtId="164" fontId="0" fillId="41" borderId="0" xfId="0" applyNumberFormat="1" applyFill="1" applyAlignment="1">
      <alignment horizontal="center" vertical="center" wrapText="1"/>
    </xf>
    <xf numFmtId="0" fontId="0" fillId="41" borderId="0" xfId="0" applyFill="1" applyAlignment="1">
      <alignment horizontal="center" vertical="center" wrapText="1"/>
    </xf>
    <xf numFmtId="0" fontId="9" fillId="41" borderId="0" xfId="1" applyFill="1" applyBorder="1" applyAlignment="1">
      <alignment horizontal="center" vertical="center" wrapText="1"/>
    </xf>
    <xf numFmtId="0" fontId="0" fillId="38" borderId="0" xfId="1" applyFont="1" applyFill="1" applyBorder="1" applyAlignment="1">
      <alignment horizontal="center" vertical="center" wrapText="1"/>
    </xf>
    <xf numFmtId="0" fontId="12" fillId="38" borderId="1" xfId="0" applyFont="1" applyFill="1" applyBorder="1" applyAlignment="1">
      <alignment horizontal="center" vertical="center" wrapText="1"/>
    </xf>
    <xf numFmtId="0" fontId="12" fillId="38" borderId="12" xfId="0" applyFont="1" applyFill="1" applyBorder="1" applyAlignment="1">
      <alignment horizontal="center" vertical="center" wrapText="1"/>
    </xf>
    <xf numFmtId="0" fontId="0" fillId="14" borderId="0" xfId="0" applyFill="1" applyAlignment="1">
      <alignment vertical="center" wrapText="1"/>
    </xf>
    <xf numFmtId="0" fontId="0" fillId="2" borderId="0" xfId="0" applyFill="1" applyAlignment="1">
      <alignment vertical="center" wrapText="1"/>
    </xf>
    <xf numFmtId="0" fontId="0" fillId="38" borderId="12" xfId="0" applyFill="1" applyBorder="1" applyAlignment="1">
      <alignment horizontal="center" vertical="center" wrapText="1"/>
    </xf>
    <xf numFmtId="0" fontId="16" fillId="14" borderId="0" xfId="0" applyFont="1" applyFill="1" applyAlignment="1">
      <alignment vertical="center" wrapText="1"/>
    </xf>
    <xf numFmtId="0" fontId="16" fillId="2" borderId="0" xfId="0" applyFont="1" applyFill="1" applyAlignment="1">
      <alignment vertical="center" wrapText="1"/>
    </xf>
    <xf numFmtId="0" fontId="12" fillId="38" borderId="16" xfId="0" applyFont="1" applyFill="1" applyBorder="1" applyAlignment="1">
      <alignment horizontal="center" vertical="center"/>
    </xf>
    <xf numFmtId="0" fontId="0" fillId="10" borderId="0" xfId="0" applyFill="1" applyAlignment="1">
      <alignment wrapText="1"/>
    </xf>
    <xf numFmtId="0" fontId="12" fillId="15" borderId="18" xfId="0" applyFont="1" applyFill="1" applyBorder="1" applyAlignment="1">
      <alignment horizontal="center" vertical="center" wrapText="1"/>
    </xf>
    <xf numFmtId="0" fontId="12" fillId="27" borderId="17" xfId="0" applyFont="1" applyFill="1" applyBorder="1" applyAlignment="1">
      <alignment horizontal="center" vertical="center" wrapText="1"/>
    </xf>
    <xf numFmtId="0" fontId="0" fillId="14" borderId="0" xfId="0" applyFill="1" applyAlignment="1">
      <alignment wrapText="1"/>
    </xf>
    <xf numFmtId="0" fontId="12" fillId="38" borderId="5" xfId="0" applyFont="1" applyFill="1" applyBorder="1" applyAlignment="1">
      <alignment horizontal="center" vertical="center" wrapText="1"/>
    </xf>
    <xf numFmtId="0" fontId="0" fillId="38" borderId="6" xfId="0" applyFill="1" applyBorder="1" applyAlignment="1">
      <alignment horizontal="center" vertical="center" wrapText="1"/>
    </xf>
    <xf numFmtId="0" fontId="12" fillId="21" borderId="1" xfId="0" applyFont="1" applyFill="1" applyBorder="1" applyAlignment="1">
      <alignment horizontal="center" vertical="center" wrapText="1"/>
    </xf>
    <xf numFmtId="0" fontId="12" fillId="29" borderId="1" xfId="0" applyFont="1" applyFill="1" applyBorder="1" applyAlignment="1">
      <alignment horizontal="center" vertical="center" wrapText="1"/>
    </xf>
    <xf numFmtId="0" fontId="12" fillId="7" borderId="0" xfId="0" applyFont="1" applyFill="1"/>
    <xf numFmtId="0" fontId="12" fillId="7" borderId="0" xfId="0" applyFont="1" applyFill="1" applyAlignment="1">
      <alignment horizontal="center"/>
    </xf>
    <xf numFmtId="0" fontId="12" fillId="2" borderId="0" xfId="0" applyFont="1" applyFill="1"/>
    <xf numFmtId="0" fontId="12" fillId="2" borderId="0" xfId="0" applyFont="1" applyFill="1" applyAlignment="1">
      <alignment horizontal="center"/>
    </xf>
    <xf numFmtId="0" fontId="18" fillId="6" borderId="1" xfId="0" applyFont="1" applyFill="1" applyBorder="1" applyAlignment="1">
      <alignment horizontal="center" vertical="center" wrapText="1"/>
    </xf>
    <xf numFmtId="0" fontId="12" fillId="16" borderId="12" xfId="0" applyFont="1" applyFill="1" applyBorder="1" applyAlignment="1">
      <alignment horizontal="center" vertical="center" wrapText="1"/>
    </xf>
    <xf numFmtId="0" fontId="12" fillId="16" borderId="12" xfId="1" applyFont="1" applyFill="1" applyBorder="1" applyAlignment="1">
      <alignment horizontal="center" vertical="center" wrapText="1"/>
    </xf>
    <xf numFmtId="0" fontId="12" fillId="22" borderId="1" xfId="0" applyFont="1" applyFill="1" applyBorder="1" applyAlignment="1">
      <alignment horizontal="center" vertical="center" wrapText="1"/>
    </xf>
    <xf numFmtId="0" fontId="12" fillId="23" borderId="12" xfId="0" applyFont="1" applyFill="1" applyBorder="1" applyAlignment="1">
      <alignment horizontal="center" vertical="center" wrapText="1"/>
    </xf>
    <xf numFmtId="0" fontId="12" fillId="35" borderId="1" xfId="0" applyFont="1" applyFill="1" applyBorder="1" applyAlignment="1">
      <alignment horizontal="center" vertical="center" wrapText="1"/>
    </xf>
    <xf numFmtId="0" fontId="12" fillId="35" borderId="1" xfId="1" applyFont="1" applyFill="1" applyBorder="1" applyAlignment="1">
      <alignment horizontal="center" vertical="center" wrapText="1"/>
    </xf>
    <xf numFmtId="0" fontId="12" fillId="23" borderId="10" xfId="0" applyFont="1" applyFill="1" applyBorder="1" applyAlignment="1">
      <alignment horizontal="center" vertical="center" wrapText="1"/>
    </xf>
    <xf numFmtId="0" fontId="12" fillId="32" borderId="0" xfId="0" applyFont="1" applyFill="1" applyAlignment="1">
      <alignment horizontal="center" vertical="center" wrapText="1"/>
    </xf>
    <xf numFmtId="0" fontId="12" fillId="20" borderId="12" xfId="0" applyFont="1" applyFill="1" applyBorder="1" applyAlignment="1">
      <alignment horizontal="center" vertical="center" wrapText="1"/>
    </xf>
    <xf numFmtId="0" fontId="12" fillId="36" borderId="1" xfId="0" applyFont="1" applyFill="1" applyBorder="1" applyAlignment="1">
      <alignment horizontal="center" vertical="center" wrapText="1"/>
    </xf>
    <xf numFmtId="0" fontId="12" fillId="36" borderId="1" xfId="1" applyFont="1" applyFill="1" applyBorder="1" applyAlignment="1">
      <alignment horizontal="center" vertical="center" wrapText="1"/>
    </xf>
    <xf numFmtId="0" fontId="12" fillId="32" borderId="14" xfId="0" applyFont="1" applyFill="1" applyBorder="1" applyAlignment="1">
      <alignment horizontal="center" vertical="center" wrapText="1"/>
    </xf>
    <xf numFmtId="0" fontId="12" fillId="20" borderId="14" xfId="0" applyFont="1" applyFill="1" applyBorder="1" applyAlignment="1">
      <alignment horizontal="center" vertical="center" wrapText="1"/>
    </xf>
    <xf numFmtId="0" fontId="12" fillId="20" borderId="10" xfId="0" applyFont="1" applyFill="1" applyBorder="1" applyAlignment="1">
      <alignment horizontal="center" vertical="center" wrapText="1"/>
    </xf>
    <xf numFmtId="0" fontId="12" fillId="33" borderId="12" xfId="0" applyFont="1" applyFill="1" applyBorder="1" applyAlignment="1">
      <alignment horizontal="center" vertical="center" wrapText="1"/>
    </xf>
    <xf numFmtId="0" fontId="12" fillId="32" borderId="12" xfId="0" applyFont="1" applyFill="1" applyBorder="1" applyAlignment="1">
      <alignment horizontal="center" vertical="center" wrapText="1"/>
    </xf>
    <xf numFmtId="0" fontId="12" fillId="24" borderId="12" xfId="0" applyFont="1" applyFill="1" applyBorder="1" applyAlignment="1">
      <alignment horizontal="center" vertical="center" wrapText="1"/>
    </xf>
    <xf numFmtId="0" fontId="12" fillId="22" borderId="12" xfId="0" applyFont="1" applyFill="1" applyBorder="1" applyAlignment="1">
      <alignment horizontal="center" vertical="center" wrapText="1"/>
    </xf>
    <xf numFmtId="0" fontId="19" fillId="20"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24" borderId="1" xfId="0" applyFont="1" applyFill="1" applyBorder="1" applyAlignment="1">
      <alignment horizontal="center" vertical="center" wrapText="1"/>
    </xf>
    <xf numFmtId="164" fontId="12" fillId="27" borderId="1" xfId="0" applyNumberFormat="1" applyFont="1" applyFill="1" applyBorder="1" applyAlignment="1">
      <alignment horizontal="center" vertical="center" wrapText="1"/>
    </xf>
    <xf numFmtId="164" fontId="12" fillId="31" borderId="1" xfId="0" applyNumberFormat="1" applyFont="1" applyFill="1" applyBorder="1" applyAlignment="1">
      <alignment horizontal="center" vertical="center" wrapText="1"/>
    </xf>
    <xf numFmtId="164" fontId="12" fillId="29" borderId="1" xfId="0" applyNumberFormat="1" applyFont="1" applyFill="1" applyBorder="1" applyAlignment="1">
      <alignment horizontal="center" vertical="center" wrapText="1"/>
    </xf>
    <xf numFmtId="164" fontId="12" fillId="30" borderId="1" xfId="0" applyNumberFormat="1" applyFont="1" applyFill="1" applyBorder="1" applyAlignment="1">
      <alignment horizontal="center" vertical="center" wrapText="1"/>
    </xf>
    <xf numFmtId="164" fontId="12" fillId="31" borderId="12" xfId="0" applyNumberFormat="1" applyFont="1" applyFill="1" applyBorder="1" applyAlignment="1">
      <alignment horizontal="center" vertical="center" wrapText="1"/>
    </xf>
    <xf numFmtId="164" fontId="12" fillId="20" borderId="1" xfId="0" applyNumberFormat="1" applyFont="1" applyFill="1" applyBorder="1" applyAlignment="1">
      <alignment horizontal="center" vertical="center" wrapText="1"/>
    </xf>
    <xf numFmtId="164" fontId="12" fillId="27" borderId="12" xfId="0" applyNumberFormat="1" applyFont="1" applyFill="1" applyBorder="1" applyAlignment="1">
      <alignment horizontal="center" vertical="center" wrapText="1"/>
    </xf>
    <xf numFmtId="0" fontId="12" fillId="31" borderId="12" xfId="0" applyFont="1" applyFill="1" applyBorder="1" applyAlignment="1">
      <alignment horizontal="center" vertical="center" wrapText="1"/>
    </xf>
    <xf numFmtId="164" fontId="12" fillId="30" borderId="12" xfId="0" applyNumberFormat="1" applyFont="1" applyFill="1" applyBorder="1" applyAlignment="1">
      <alignment horizontal="center" vertical="center" wrapText="1"/>
    </xf>
    <xf numFmtId="0" fontId="12" fillId="34" borderId="12" xfId="0" applyFont="1" applyFill="1" applyBorder="1" applyAlignment="1">
      <alignment horizontal="center" vertical="center" wrapText="1"/>
    </xf>
    <xf numFmtId="0" fontId="12" fillId="35" borderId="12" xfId="0" applyFont="1" applyFill="1" applyBorder="1" applyAlignment="1">
      <alignment horizontal="center" vertical="center" wrapText="1"/>
    </xf>
    <xf numFmtId="164" fontId="12" fillId="29" borderId="12" xfId="0" applyNumberFormat="1" applyFont="1" applyFill="1" applyBorder="1" applyAlignment="1">
      <alignment horizontal="center" vertical="center" wrapText="1"/>
    </xf>
    <xf numFmtId="164" fontId="12" fillId="20" borderId="12" xfId="0" applyNumberFormat="1" applyFont="1" applyFill="1" applyBorder="1" applyAlignment="1">
      <alignment horizontal="center" vertical="center" wrapText="1"/>
    </xf>
    <xf numFmtId="164" fontId="19" fillId="44" borderId="12" xfId="0" applyNumberFormat="1" applyFont="1" applyFill="1" applyBorder="1" applyAlignment="1">
      <alignment horizontal="center" vertical="center" wrapText="1"/>
    </xf>
    <xf numFmtId="164" fontId="19" fillId="47" borderId="12" xfId="0" applyNumberFormat="1" applyFont="1" applyFill="1" applyBorder="1" applyAlignment="1">
      <alignment horizontal="center" vertical="center" wrapText="1"/>
    </xf>
    <xf numFmtId="164" fontId="12" fillId="24" borderId="12" xfId="0" applyNumberFormat="1" applyFont="1" applyFill="1" applyBorder="1" applyAlignment="1">
      <alignment horizontal="center" vertical="center" wrapText="1"/>
    </xf>
    <xf numFmtId="0" fontId="12" fillId="15" borderId="12"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29" borderId="1" xfId="0" applyFont="1" applyFill="1" applyBorder="1" applyAlignment="1">
      <alignment horizontal="left" vertical="center" wrapText="1"/>
    </xf>
    <xf numFmtId="0" fontId="12" fillId="30" borderId="1" xfId="0" applyFont="1" applyFill="1" applyBorder="1" applyAlignment="1">
      <alignment horizontal="center" vertical="center" wrapText="1"/>
    </xf>
    <xf numFmtId="0" fontId="12" fillId="37" borderId="12" xfId="0" applyFont="1" applyFill="1" applyBorder="1" applyAlignment="1">
      <alignment horizontal="center" vertical="center" wrapText="1"/>
    </xf>
    <xf numFmtId="0" fontId="12" fillId="27" borderId="10" xfId="0" applyFont="1" applyFill="1" applyBorder="1" applyAlignment="1">
      <alignment horizontal="center" vertical="center" wrapText="1"/>
    </xf>
    <xf numFmtId="0" fontId="12" fillId="29" borderId="12" xfId="0" applyFont="1" applyFill="1" applyBorder="1" applyAlignment="1">
      <alignment horizontal="center" vertical="center" wrapText="1"/>
    </xf>
    <xf numFmtId="0" fontId="12" fillId="30" borderId="12" xfId="0" applyFont="1" applyFill="1" applyBorder="1" applyAlignment="1">
      <alignment horizontal="center" vertical="center" wrapText="1"/>
    </xf>
    <xf numFmtId="0" fontId="12" fillId="26" borderId="12" xfId="0" applyFont="1" applyFill="1" applyBorder="1" applyAlignment="1">
      <alignment horizontal="center" vertical="center" wrapText="1"/>
    </xf>
    <xf numFmtId="0" fontId="12" fillId="17" borderId="12" xfId="0" applyFont="1" applyFill="1" applyBorder="1" applyAlignment="1">
      <alignment horizontal="center" vertical="center" wrapText="1"/>
    </xf>
    <xf numFmtId="0" fontId="19" fillId="45" borderId="12" xfId="0" applyFont="1" applyFill="1" applyBorder="1" applyAlignment="1">
      <alignment horizontal="center" vertical="center" wrapText="1"/>
    </xf>
    <xf numFmtId="0" fontId="12" fillId="20" borderId="1" xfId="0" applyFont="1" applyFill="1" applyBorder="1" applyAlignment="1">
      <alignment horizontal="center" wrapText="1"/>
    </xf>
    <xf numFmtId="0" fontId="12" fillId="27" borderId="1" xfId="1" applyFont="1" applyFill="1" applyBorder="1" applyAlignment="1">
      <alignment horizontal="center" vertical="center" wrapText="1"/>
    </xf>
    <xf numFmtId="0" fontId="12" fillId="7" borderId="0" xfId="0" applyFont="1" applyFill="1" applyAlignment="1">
      <alignment vertical="center"/>
    </xf>
    <xf numFmtId="0" fontId="12" fillId="2" borderId="0" xfId="0" applyFont="1" applyFill="1" applyAlignment="1">
      <alignment vertical="center"/>
    </xf>
    <xf numFmtId="0" fontId="12" fillId="30" borderId="1" xfId="0" applyFont="1" applyFill="1" applyBorder="1" applyAlignment="1">
      <alignment horizontal="center" wrapText="1"/>
    </xf>
    <xf numFmtId="0" fontId="12" fillId="16" borderId="10" xfId="0" quotePrefix="1" applyFont="1" applyFill="1" applyBorder="1" applyAlignment="1">
      <alignment horizontal="center" vertical="center" wrapText="1"/>
    </xf>
    <xf numFmtId="0" fontId="12" fillId="32" borderId="10" xfId="0" quotePrefix="1" applyFont="1" applyFill="1" applyBorder="1" applyAlignment="1">
      <alignment horizontal="center" vertical="center" wrapText="1"/>
    </xf>
    <xf numFmtId="0" fontId="12" fillId="29" borderId="10" xfId="0" quotePrefix="1" applyFont="1" applyFill="1" applyBorder="1" applyAlignment="1">
      <alignment horizontal="center" vertical="center" wrapText="1"/>
    </xf>
    <xf numFmtId="0" fontId="12" fillId="30" borderId="10" xfId="0" quotePrefix="1" applyFont="1" applyFill="1" applyBorder="1" applyAlignment="1">
      <alignment horizontal="center" vertical="center" wrapText="1"/>
    </xf>
    <xf numFmtId="0" fontId="12" fillId="20" borderId="10" xfId="0" quotePrefix="1" applyFont="1" applyFill="1" applyBorder="1" applyAlignment="1">
      <alignment horizontal="center" vertical="center" wrapText="1"/>
    </xf>
    <xf numFmtId="0" fontId="12" fillId="34" borderId="1" xfId="0" quotePrefix="1" applyFont="1" applyFill="1" applyBorder="1" applyAlignment="1">
      <alignment horizontal="center" vertical="center" wrapText="1"/>
    </xf>
    <xf numFmtId="0" fontId="12" fillId="34" borderId="10" xfId="0" quotePrefix="1" applyFont="1" applyFill="1" applyBorder="1" applyAlignment="1">
      <alignment horizontal="center" vertical="center" wrapText="1"/>
    </xf>
    <xf numFmtId="0" fontId="12" fillId="35" borderId="10" xfId="0" quotePrefix="1" applyFont="1" applyFill="1" applyBorder="1" applyAlignment="1">
      <alignment horizontal="center" vertical="center" wrapText="1"/>
    </xf>
    <xf numFmtId="0" fontId="12" fillId="29" borderId="1" xfId="0" quotePrefix="1" applyFont="1" applyFill="1" applyBorder="1" applyAlignment="1">
      <alignment horizontal="center" vertical="center" wrapText="1"/>
    </xf>
    <xf numFmtId="0" fontId="12" fillId="30" borderId="1" xfId="0" quotePrefix="1" applyFont="1" applyFill="1" applyBorder="1" applyAlignment="1">
      <alignment horizontal="center" vertical="center" wrapText="1"/>
    </xf>
    <xf numFmtId="0" fontId="12" fillId="27" borderId="1" xfId="0" quotePrefix="1" applyFont="1" applyFill="1" applyBorder="1" applyAlignment="1">
      <alignment horizontal="center" vertical="center" wrapText="1"/>
    </xf>
    <xf numFmtId="0" fontId="12" fillId="37" borderId="10" xfId="0" quotePrefix="1" applyFont="1" applyFill="1" applyBorder="1" applyAlignment="1">
      <alignment horizontal="center" vertical="center" wrapText="1"/>
    </xf>
    <xf numFmtId="0" fontId="12" fillId="27" borderId="10" xfId="0" quotePrefix="1" applyFont="1" applyFill="1" applyBorder="1" applyAlignment="1">
      <alignment horizontal="center" vertical="center" wrapText="1"/>
    </xf>
    <xf numFmtId="0" fontId="12" fillId="32" borderId="11" xfId="0" quotePrefix="1" applyFont="1" applyFill="1" applyBorder="1" applyAlignment="1">
      <alignment horizontal="center" vertical="center" wrapText="1"/>
    </xf>
    <xf numFmtId="0" fontId="12" fillId="27" borderId="11" xfId="0" applyFont="1" applyFill="1" applyBorder="1" applyAlignment="1">
      <alignment horizontal="center" vertical="center" wrapText="1"/>
    </xf>
    <xf numFmtId="0" fontId="12" fillId="34" borderId="10" xfId="0" applyFont="1" applyFill="1" applyBorder="1" applyAlignment="1">
      <alignment horizontal="center" vertical="center" wrapText="1"/>
    </xf>
    <xf numFmtId="0" fontId="12" fillId="32" borderId="1" xfId="0" quotePrefix="1" applyFont="1" applyFill="1" applyBorder="1" applyAlignment="1">
      <alignment horizontal="center" vertical="center" wrapText="1"/>
    </xf>
    <xf numFmtId="0" fontId="12" fillId="27" borderId="7" xfId="0" applyFont="1" applyFill="1" applyBorder="1" applyAlignment="1">
      <alignment horizontal="center" vertical="center" wrapText="1"/>
    </xf>
    <xf numFmtId="0" fontId="12" fillId="16" borderId="1" xfId="0" quotePrefix="1" applyFont="1" applyFill="1" applyBorder="1" applyAlignment="1">
      <alignment horizontal="center" vertical="center" wrapText="1"/>
    </xf>
    <xf numFmtId="0" fontId="12" fillId="51" borderId="1" xfId="0" applyFont="1" applyFill="1" applyBorder="1" applyAlignment="1">
      <alignment horizontal="center" vertical="center" wrapText="1"/>
    </xf>
    <xf numFmtId="0" fontId="12" fillId="52" borderId="1" xfId="0" applyFont="1" applyFill="1" applyBorder="1" applyAlignment="1">
      <alignment horizontal="center" vertical="center" wrapText="1"/>
    </xf>
    <xf numFmtId="164" fontId="12" fillId="52" borderId="1" xfId="0" applyNumberFormat="1" applyFont="1" applyFill="1" applyBorder="1" applyAlignment="1">
      <alignment horizontal="center" vertical="center" wrapText="1"/>
    </xf>
    <xf numFmtId="0" fontId="12" fillId="52" borderId="12" xfId="0" applyFont="1" applyFill="1" applyBorder="1" applyAlignment="1">
      <alignment horizontal="center" vertical="center" wrapText="1"/>
    </xf>
    <xf numFmtId="164" fontId="12" fillId="52" borderId="12" xfId="0" applyNumberFormat="1" applyFont="1" applyFill="1" applyBorder="1" applyAlignment="1">
      <alignment horizontal="center" vertical="center" wrapText="1"/>
    </xf>
    <xf numFmtId="0" fontId="12" fillId="52" borderId="10" xfId="0" applyFont="1" applyFill="1" applyBorder="1" applyAlignment="1">
      <alignment horizontal="center" vertical="center" wrapText="1"/>
    </xf>
    <xf numFmtId="0" fontId="12" fillId="52" borderId="1" xfId="0" quotePrefix="1" applyFont="1" applyFill="1" applyBorder="1" applyAlignment="1">
      <alignment horizontal="center" vertical="center" wrapText="1"/>
    </xf>
    <xf numFmtId="3" fontId="12" fillId="52" borderId="1" xfId="0" applyNumberFormat="1" applyFont="1" applyFill="1" applyBorder="1" applyAlignment="1">
      <alignment horizontal="center" vertical="center" wrapText="1"/>
    </xf>
    <xf numFmtId="0" fontId="12" fillId="52" borderId="10" xfId="0" quotePrefix="1" applyFont="1" applyFill="1" applyBorder="1" applyAlignment="1">
      <alignment horizontal="center" vertical="center" wrapText="1"/>
    </xf>
    <xf numFmtId="0" fontId="12" fillId="51" borderId="12" xfId="0" applyFont="1" applyFill="1" applyBorder="1" applyAlignment="1">
      <alignment horizontal="center" vertical="center" wrapText="1"/>
    </xf>
    <xf numFmtId="0" fontId="22" fillId="52" borderId="1" xfId="1" applyFont="1" applyFill="1" applyBorder="1" applyAlignment="1">
      <alignment horizontal="center" vertical="center" wrapText="1"/>
    </xf>
    <xf numFmtId="0" fontId="22" fillId="52" borderId="12" xfId="1" applyFont="1" applyFill="1" applyBorder="1" applyAlignment="1">
      <alignment horizontal="center" vertical="center" wrapText="1"/>
    </xf>
    <xf numFmtId="0" fontId="22" fillId="53" borderId="1" xfId="0" applyFont="1" applyFill="1" applyBorder="1" applyAlignment="1">
      <alignment horizontal="center" vertical="center" wrapText="1"/>
    </xf>
    <xf numFmtId="0" fontId="22" fillId="53" borderId="12" xfId="0" applyFont="1" applyFill="1" applyBorder="1" applyAlignment="1">
      <alignment horizontal="center" vertical="center" wrapText="1"/>
    </xf>
    <xf numFmtId="0" fontId="22" fillId="31" borderId="1" xfId="1" applyFont="1" applyFill="1" applyBorder="1" applyAlignment="1">
      <alignment horizontal="center" vertical="center" wrapText="1"/>
    </xf>
    <xf numFmtId="0" fontId="22" fillId="31" borderId="12" xfId="1" applyFont="1" applyFill="1" applyBorder="1" applyAlignment="1">
      <alignment horizontal="center" vertical="center" wrapText="1"/>
    </xf>
    <xf numFmtId="0" fontId="23" fillId="15" borderId="1" xfId="0" applyFont="1" applyFill="1" applyBorder="1" applyAlignment="1">
      <alignment horizontal="center" vertical="center" wrapText="1"/>
    </xf>
    <xf numFmtId="0" fontId="23" fillId="15" borderId="12" xfId="0" applyFont="1" applyFill="1" applyBorder="1" applyAlignment="1">
      <alignment horizontal="center" vertical="center" wrapText="1"/>
    </xf>
    <xf numFmtId="0" fontId="22" fillId="27" borderId="12" xfId="1" applyFont="1" applyFill="1" applyBorder="1" applyAlignment="1">
      <alignment horizontal="center" vertical="center" wrapText="1"/>
    </xf>
    <xf numFmtId="0" fontId="22" fillId="27" borderId="1" xfId="1" applyFont="1" applyFill="1" applyBorder="1" applyAlignment="1">
      <alignment horizontal="center" vertical="center" wrapText="1"/>
    </xf>
    <xf numFmtId="0" fontId="22" fillId="20" borderId="12" xfId="1" applyFont="1" applyFill="1" applyBorder="1" applyAlignment="1">
      <alignment horizontal="center" vertical="center" wrapText="1"/>
    </xf>
    <xf numFmtId="0" fontId="12" fillId="20" borderId="1" xfId="0" applyFont="1" applyFill="1" applyBorder="1" applyAlignment="1">
      <alignment horizontal="center" vertical="center"/>
    </xf>
    <xf numFmtId="0" fontId="22" fillId="20" borderId="1" xfId="1" applyFont="1" applyFill="1" applyBorder="1" applyAlignment="1">
      <alignment horizontal="center" vertical="center" wrapText="1"/>
    </xf>
    <xf numFmtId="0" fontId="22" fillId="15" borderId="1" xfId="0" applyFont="1" applyFill="1" applyBorder="1" applyAlignment="1">
      <alignment horizontal="center" vertical="center" wrapText="1"/>
    </xf>
    <xf numFmtId="0" fontId="22" fillId="15" borderId="12"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22" fillId="16" borderId="12" xfId="1" applyFont="1" applyFill="1" applyBorder="1" applyAlignment="1">
      <alignment horizontal="center" vertical="center" wrapText="1"/>
    </xf>
    <xf numFmtId="0" fontId="22" fillId="16" borderId="1" xfId="1" applyFont="1" applyFill="1" applyBorder="1" applyAlignment="1">
      <alignment horizontal="center" vertical="center" wrapText="1"/>
    </xf>
    <xf numFmtId="0" fontId="19" fillId="44" borderId="12" xfId="0" applyFont="1" applyFill="1" applyBorder="1" applyAlignment="1">
      <alignment horizontal="center" vertical="center" wrapText="1"/>
    </xf>
    <xf numFmtId="0" fontId="22" fillId="32" borderId="1" xfId="1" applyFont="1" applyFill="1" applyBorder="1" applyAlignment="1">
      <alignment horizontal="center" vertical="center" wrapText="1"/>
    </xf>
    <xf numFmtId="0" fontId="22" fillId="32" borderId="12" xfId="1" applyFont="1" applyFill="1" applyBorder="1" applyAlignment="1">
      <alignment horizontal="center" vertical="center" wrapText="1"/>
    </xf>
    <xf numFmtId="0" fontId="24" fillId="46" borderId="12" xfId="1" applyFont="1" applyFill="1" applyBorder="1" applyAlignment="1">
      <alignment horizontal="center" vertical="center" wrapText="1"/>
    </xf>
    <xf numFmtId="0" fontId="23" fillId="17" borderId="12" xfId="0" applyFont="1" applyFill="1" applyBorder="1" applyAlignment="1">
      <alignment horizontal="center" vertical="center" wrapText="1"/>
    </xf>
    <xf numFmtId="0" fontId="12" fillId="26" borderId="1" xfId="0" applyFont="1" applyFill="1" applyBorder="1" applyAlignment="1">
      <alignment horizontal="center" vertical="center" wrapText="1"/>
    </xf>
    <xf numFmtId="0" fontId="22" fillId="33" borderId="1" xfId="1" applyFont="1" applyFill="1" applyBorder="1" applyAlignment="1">
      <alignment horizontal="center" vertical="center" wrapText="1"/>
    </xf>
    <xf numFmtId="0" fontId="22" fillId="33" borderId="12" xfId="1" applyFont="1" applyFill="1" applyBorder="1" applyAlignment="1">
      <alignment horizontal="center" vertical="center" wrapText="1"/>
    </xf>
    <xf numFmtId="0" fontId="12" fillId="18" borderId="12" xfId="0" applyFont="1" applyFill="1" applyBorder="1" applyAlignment="1">
      <alignment horizontal="center" vertical="center" wrapText="1"/>
    </xf>
    <xf numFmtId="0" fontId="22" fillId="34" borderId="1" xfId="1" applyFont="1" applyFill="1" applyBorder="1" applyAlignment="1">
      <alignment horizontal="center" vertical="center" wrapText="1"/>
    </xf>
    <xf numFmtId="0" fontId="22" fillId="34" borderId="12" xfId="1" applyFont="1" applyFill="1" applyBorder="1" applyAlignment="1">
      <alignment horizontal="center" vertical="center" wrapText="1"/>
    </xf>
    <xf numFmtId="0" fontId="24" fillId="47" borderId="12" xfId="1"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19" fillId="55" borderId="1" xfId="0" applyFont="1" applyFill="1" applyBorder="1" applyAlignment="1">
      <alignment horizontal="center" vertical="center" wrapText="1"/>
    </xf>
    <xf numFmtId="0" fontId="19" fillId="55" borderId="1" xfId="1" applyFont="1" applyFill="1" applyBorder="1" applyAlignment="1">
      <alignment horizontal="center" vertical="center" wrapText="1"/>
    </xf>
    <xf numFmtId="0" fontId="19" fillId="55" borderId="12" xfId="0" applyFont="1" applyFill="1" applyBorder="1" applyAlignment="1">
      <alignment horizontal="center" vertical="center" wrapText="1"/>
    </xf>
    <xf numFmtId="0" fontId="22" fillId="35" borderId="1" xfId="1" applyFont="1" applyFill="1" applyBorder="1" applyAlignment="1">
      <alignment horizontal="center" vertical="center" wrapText="1"/>
    </xf>
    <xf numFmtId="0" fontId="22" fillId="35" borderId="12" xfId="1" applyFont="1" applyFill="1" applyBorder="1" applyAlignment="1">
      <alignment horizontal="center" vertical="center" wrapText="1"/>
    </xf>
    <xf numFmtId="0" fontId="12" fillId="35" borderId="1" xfId="0" quotePrefix="1" applyFont="1" applyFill="1" applyBorder="1" applyAlignment="1">
      <alignment horizontal="center" vertical="center" wrapText="1"/>
    </xf>
    <xf numFmtId="0" fontId="22" fillId="29" borderId="1" xfId="1" applyFont="1" applyFill="1" applyBorder="1" applyAlignment="1">
      <alignment horizontal="center" vertical="center" wrapText="1"/>
    </xf>
    <xf numFmtId="0" fontId="22" fillId="29" borderId="12" xfId="1" applyFont="1" applyFill="1" applyBorder="1" applyAlignment="1">
      <alignment horizontal="center" vertical="center" wrapText="1"/>
    </xf>
    <xf numFmtId="0" fontId="22" fillId="36" borderId="12" xfId="1" applyFont="1" applyFill="1" applyBorder="1" applyAlignment="1">
      <alignment horizontal="center" vertical="center" wrapText="1"/>
    </xf>
    <xf numFmtId="0" fontId="22" fillId="21" borderId="1" xfId="0" applyFont="1" applyFill="1" applyBorder="1" applyAlignment="1">
      <alignment horizontal="center" vertical="center" wrapText="1"/>
    </xf>
    <xf numFmtId="0" fontId="22" fillId="21" borderId="12" xfId="0" applyFont="1" applyFill="1" applyBorder="1" applyAlignment="1">
      <alignment horizontal="center" vertical="center" wrapText="1"/>
    </xf>
    <xf numFmtId="0" fontId="22" fillId="32" borderId="12" xfId="0" applyFont="1" applyFill="1" applyBorder="1" applyAlignment="1">
      <alignment horizontal="center" vertical="center" wrapText="1"/>
    </xf>
    <xf numFmtId="0" fontId="22" fillId="20" borderId="12" xfId="0" applyFont="1" applyFill="1" applyBorder="1" applyAlignment="1">
      <alignment horizontal="center" vertical="center" wrapText="1"/>
    </xf>
    <xf numFmtId="0" fontId="22" fillId="32" borderId="1" xfId="0" applyFont="1" applyFill="1" applyBorder="1" applyAlignment="1">
      <alignment horizontal="center" vertical="center" wrapText="1"/>
    </xf>
    <xf numFmtId="0" fontId="22" fillId="30" borderId="1" xfId="1" applyFont="1" applyFill="1" applyBorder="1" applyAlignment="1">
      <alignment horizontal="center" vertical="center" wrapText="1"/>
    </xf>
    <xf numFmtId="0" fontId="22" fillId="30" borderId="12" xfId="1" applyFont="1" applyFill="1" applyBorder="1" applyAlignment="1">
      <alignment horizontal="center" vertical="center" wrapText="1"/>
    </xf>
    <xf numFmtId="0" fontId="22" fillId="22" borderId="1" xfId="0" applyFont="1" applyFill="1" applyBorder="1" applyAlignment="1">
      <alignment horizontal="center" vertical="center" wrapText="1"/>
    </xf>
    <xf numFmtId="164" fontId="12" fillId="16" borderId="12" xfId="0" applyNumberFormat="1" applyFont="1" applyFill="1" applyBorder="1" applyAlignment="1">
      <alignment horizontal="center" vertical="center" wrapText="1"/>
    </xf>
    <xf numFmtId="164" fontId="12" fillId="32" borderId="1" xfId="0" applyNumberFormat="1" applyFont="1" applyFill="1" applyBorder="1" applyAlignment="1">
      <alignment horizontal="center" vertical="center" wrapText="1"/>
    </xf>
    <xf numFmtId="164" fontId="12" fillId="16" borderId="1" xfId="0" applyNumberFormat="1" applyFont="1" applyFill="1" applyBorder="1" applyAlignment="1">
      <alignment horizontal="center" vertical="center" wrapText="1"/>
    </xf>
    <xf numFmtId="164" fontId="12" fillId="33" borderId="1" xfId="0" applyNumberFormat="1" applyFont="1" applyFill="1" applyBorder="1" applyAlignment="1">
      <alignment horizontal="center" vertical="center" wrapText="1"/>
    </xf>
    <xf numFmtId="164" fontId="12" fillId="34" borderId="1" xfId="0" applyNumberFormat="1" applyFont="1" applyFill="1" applyBorder="1" applyAlignment="1">
      <alignment horizontal="center" vertical="center" wrapText="1"/>
    </xf>
    <xf numFmtId="164" fontId="12" fillId="35" borderId="1" xfId="0" applyNumberFormat="1" applyFont="1" applyFill="1" applyBorder="1" applyAlignment="1">
      <alignment horizontal="center" vertical="center" wrapText="1"/>
    </xf>
    <xf numFmtId="164" fontId="12" fillId="22" borderId="1" xfId="0" applyNumberFormat="1" applyFont="1" applyFill="1" applyBorder="1" applyAlignment="1">
      <alignment horizontal="center" vertical="center" wrapText="1"/>
    </xf>
    <xf numFmtId="164" fontId="12" fillId="27" borderId="1" xfId="1" applyNumberFormat="1" applyFont="1" applyFill="1" applyBorder="1" applyAlignment="1">
      <alignment horizontal="center" vertical="center" wrapText="1"/>
    </xf>
    <xf numFmtId="164" fontId="12" fillId="34" borderId="12" xfId="0" applyNumberFormat="1" applyFont="1" applyFill="1" applyBorder="1" applyAlignment="1">
      <alignment horizontal="center" vertical="center" wrapText="1"/>
    </xf>
    <xf numFmtId="0" fontId="22" fillId="30" borderId="1" xfId="0" applyFont="1" applyFill="1" applyBorder="1" applyAlignment="1">
      <alignment horizontal="center" vertical="center" wrapText="1"/>
    </xf>
    <xf numFmtId="0" fontId="12" fillId="39" borderId="1" xfId="0" applyFont="1" applyFill="1" applyBorder="1" applyAlignment="1">
      <alignment horizontal="center" vertical="center" wrapText="1"/>
    </xf>
    <xf numFmtId="0" fontId="22" fillId="31" borderId="12" xfId="0" applyFont="1" applyFill="1" applyBorder="1" applyAlignment="1">
      <alignment horizontal="center" vertical="center" wrapText="1"/>
    </xf>
    <xf numFmtId="0" fontId="22" fillId="17" borderId="12" xfId="0" applyFont="1" applyFill="1" applyBorder="1" applyAlignment="1">
      <alignment horizontal="center" vertical="center" wrapText="1"/>
    </xf>
    <xf numFmtId="0" fontId="12" fillId="31" borderId="7" xfId="0" applyFont="1" applyFill="1" applyBorder="1" applyAlignment="1">
      <alignment horizontal="center" vertical="center" wrapText="1"/>
    </xf>
    <xf numFmtId="0" fontId="12" fillId="16" borderId="7" xfId="0" quotePrefix="1" applyFont="1" applyFill="1" applyBorder="1" applyAlignment="1">
      <alignment horizontal="center" vertical="center" wrapText="1"/>
    </xf>
    <xf numFmtId="0" fontId="12" fillId="32" borderId="7" xfId="0" quotePrefix="1" applyFont="1" applyFill="1" applyBorder="1" applyAlignment="1">
      <alignment horizontal="center" vertical="center" wrapText="1"/>
    </xf>
    <xf numFmtId="0" fontId="12" fillId="20" borderId="7" xfId="0" applyFont="1" applyFill="1" applyBorder="1" applyAlignment="1">
      <alignment horizontal="center" vertical="center" wrapText="1"/>
    </xf>
    <xf numFmtId="0" fontId="12" fillId="30" borderId="7" xfId="0" quotePrefix="1" applyFont="1" applyFill="1" applyBorder="1" applyAlignment="1">
      <alignment horizontal="center" vertical="center" wrapText="1"/>
    </xf>
    <xf numFmtId="0" fontId="12" fillId="27" borderId="7" xfId="0" quotePrefix="1" applyFont="1" applyFill="1" applyBorder="1" applyAlignment="1">
      <alignment horizontal="center" vertical="center" wrapText="1"/>
    </xf>
    <xf numFmtId="0" fontId="12" fillId="31" borderId="7" xfId="0" quotePrefix="1"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2" fillId="32" borderId="5" xfId="0" quotePrefix="1" applyFont="1" applyFill="1" applyBorder="1" applyAlignment="1">
      <alignment horizontal="center" vertical="center" wrapText="1"/>
    </xf>
    <xf numFmtId="0" fontId="12" fillId="21" borderId="12" xfId="0" applyFont="1" applyFill="1" applyBorder="1" applyAlignment="1">
      <alignment horizontal="center" vertical="center" wrapText="1"/>
    </xf>
    <xf numFmtId="0" fontId="20" fillId="20" borderId="12" xfId="0" applyFont="1" applyFill="1" applyBorder="1" applyAlignment="1">
      <alignment horizontal="center" vertical="center"/>
    </xf>
    <xf numFmtId="164" fontId="12" fillId="32" borderId="12" xfId="0" applyNumberFormat="1" applyFont="1" applyFill="1" applyBorder="1" applyAlignment="1">
      <alignment horizontal="center" vertical="center" wrapText="1"/>
    </xf>
    <xf numFmtId="0" fontId="12" fillId="16" borderId="14" xfId="0" applyFont="1" applyFill="1" applyBorder="1" applyAlignment="1">
      <alignment horizontal="center" vertical="center" wrapText="1"/>
    </xf>
    <xf numFmtId="0" fontId="12" fillId="20" borderId="15" xfId="0" applyFont="1" applyFill="1" applyBorder="1" applyAlignment="1">
      <alignment horizontal="center" vertical="center" wrapText="1"/>
    </xf>
    <xf numFmtId="164" fontId="12" fillId="36" borderId="12" xfId="0" applyNumberFormat="1" applyFont="1" applyFill="1" applyBorder="1" applyAlignment="1">
      <alignment horizontal="center" vertical="center" wrapText="1"/>
    </xf>
    <xf numFmtId="0" fontId="12" fillId="16" borderId="11" xfId="0" quotePrefix="1" applyFont="1" applyFill="1" applyBorder="1" applyAlignment="1">
      <alignment horizontal="center" vertical="center" wrapText="1"/>
    </xf>
    <xf numFmtId="164" fontId="12" fillId="23" borderId="1" xfId="0" applyNumberFormat="1" applyFont="1" applyFill="1" applyBorder="1" applyAlignment="1">
      <alignment horizontal="center" vertical="center" wrapText="1"/>
    </xf>
    <xf numFmtId="0" fontId="22" fillId="18" borderId="1" xfId="1" applyNumberFormat="1" applyFont="1" applyFill="1" applyBorder="1" applyAlignment="1">
      <alignment horizontal="center" vertical="center" wrapText="1"/>
    </xf>
    <xf numFmtId="164" fontId="12" fillId="18" borderId="1" xfId="0" applyNumberFormat="1" applyFont="1" applyFill="1" applyBorder="1" applyAlignment="1">
      <alignment horizontal="center" vertical="center" wrapText="1"/>
    </xf>
    <xf numFmtId="0" fontId="12" fillId="31" borderId="11" xfId="0" applyFont="1" applyFill="1" applyBorder="1" applyAlignment="1">
      <alignment horizontal="center" vertical="center" wrapText="1"/>
    </xf>
    <xf numFmtId="0" fontId="12" fillId="29" borderId="11" xfId="0" quotePrefix="1" applyFont="1" applyFill="1" applyBorder="1" applyAlignment="1">
      <alignment horizontal="left" vertical="center" wrapText="1"/>
    </xf>
    <xf numFmtId="0" fontId="12" fillId="15" borderId="11" xfId="0" applyFont="1" applyFill="1" applyBorder="1" applyAlignment="1">
      <alignment horizontal="center" vertical="center" wrapText="1"/>
    </xf>
    <xf numFmtId="0" fontId="12" fillId="56" borderId="1" xfId="0" applyFont="1" applyFill="1" applyBorder="1" applyAlignment="1">
      <alignment horizontal="center" vertical="center" wrapText="1"/>
    </xf>
    <xf numFmtId="0" fontId="12" fillId="57" borderId="1" xfId="0" applyFont="1" applyFill="1" applyBorder="1" applyAlignment="1">
      <alignment horizontal="center" vertical="center" wrapText="1"/>
    </xf>
    <xf numFmtId="0" fontId="22" fillId="57" borderId="12" xfId="1" applyFont="1" applyFill="1" applyBorder="1" applyAlignment="1">
      <alignment horizontal="center" vertical="center" wrapText="1"/>
    </xf>
    <xf numFmtId="164" fontId="12" fillId="57" borderId="12" xfId="0" applyNumberFormat="1" applyFont="1" applyFill="1" applyBorder="1" applyAlignment="1">
      <alignment horizontal="center" vertical="center" wrapText="1"/>
    </xf>
    <xf numFmtId="0" fontId="12" fillId="57" borderId="12" xfId="0" applyFont="1" applyFill="1" applyBorder="1" applyAlignment="1">
      <alignment horizontal="center" vertical="center" wrapText="1"/>
    </xf>
    <xf numFmtId="0" fontId="12" fillId="57" borderId="7" xfId="0" applyFont="1" applyFill="1" applyBorder="1" applyAlignment="1">
      <alignment horizontal="center" vertical="center" wrapText="1"/>
    </xf>
    <xf numFmtId="0" fontId="12" fillId="23" borderId="1" xfId="0" applyFont="1" applyFill="1" applyBorder="1" applyAlignment="1">
      <alignment vertical="center" wrapText="1"/>
    </xf>
    <xf numFmtId="0" fontId="23" fillId="23" borderId="12" xfId="0" applyFont="1" applyFill="1" applyBorder="1" applyAlignment="1">
      <alignment vertical="center" wrapText="1"/>
    </xf>
    <xf numFmtId="164" fontId="12" fillId="23" borderId="12" xfId="0" applyNumberFormat="1" applyFont="1" applyFill="1" applyBorder="1" applyAlignment="1">
      <alignment vertical="center" wrapText="1"/>
    </xf>
    <xf numFmtId="0" fontId="22" fillId="23" borderId="12" xfId="0" applyFont="1" applyFill="1" applyBorder="1" applyAlignment="1">
      <alignment horizontal="center" vertical="center" wrapText="1"/>
    </xf>
    <xf numFmtId="0" fontId="12" fillId="49" borderId="12" xfId="0" applyFont="1" applyFill="1" applyBorder="1" applyAlignment="1">
      <alignment horizontal="center" vertical="center" wrapText="1"/>
    </xf>
    <xf numFmtId="0" fontId="12" fillId="23" borderId="7" xfId="0" applyFont="1" applyFill="1" applyBorder="1" applyAlignment="1">
      <alignment vertical="center" wrapText="1"/>
    </xf>
    <xf numFmtId="0" fontId="23" fillId="24" borderId="12" xfId="0" applyFont="1" applyFill="1" applyBorder="1" applyAlignment="1">
      <alignment horizontal="center" vertical="center" wrapText="1"/>
    </xf>
    <xf numFmtId="0" fontId="23" fillId="18" borderId="1" xfId="0" applyFont="1" applyFill="1" applyBorder="1" applyAlignment="1">
      <alignment horizontal="center" vertical="center" wrapText="1"/>
    </xf>
    <xf numFmtId="0" fontId="22" fillId="29" borderId="12" xfId="1" applyNumberFormat="1" applyFont="1" applyFill="1" applyBorder="1" applyAlignment="1">
      <alignment horizontal="center" vertical="center" wrapText="1"/>
    </xf>
    <xf numFmtId="0" fontId="22" fillId="31" borderId="12" xfId="1" applyNumberFormat="1" applyFont="1" applyFill="1" applyBorder="1" applyAlignment="1">
      <alignment horizontal="center" vertical="center" wrapText="1"/>
    </xf>
    <xf numFmtId="0" fontId="22" fillId="32" borderId="12" xfId="1" applyNumberFormat="1" applyFont="1" applyFill="1" applyBorder="1" applyAlignment="1">
      <alignment horizontal="center" vertical="center" wrapText="1"/>
    </xf>
    <xf numFmtId="0" fontId="12" fillId="21" borderId="10" xfId="0" applyFont="1" applyFill="1" applyBorder="1" applyAlignment="1">
      <alignment horizontal="center" vertical="center" wrapText="1"/>
    </xf>
    <xf numFmtId="0" fontId="22" fillId="27" borderId="1" xfId="1" applyNumberFormat="1" applyFont="1" applyFill="1" applyBorder="1" applyAlignment="1">
      <alignment horizontal="center" vertical="center" wrapText="1"/>
    </xf>
    <xf numFmtId="0" fontId="22" fillId="31" borderId="1" xfId="1" applyNumberFormat="1" applyFont="1" applyFill="1" applyBorder="1" applyAlignment="1">
      <alignment horizontal="center" vertical="center" wrapText="1"/>
    </xf>
    <xf numFmtId="0" fontId="22" fillId="29" borderId="1" xfId="1" applyNumberFormat="1" applyFont="1" applyFill="1" applyBorder="1" applyAlignment="1">
      <alignment horizontal="center" vertical="center" wrapText="1"/>
    </xf>
    <xf numFmtId="0" fontId="12" fillId="29" borderId="10" xfId="0" applyFont="1" applyFill="1" applyBorder="1" applyAlignment="1">
      <alignment horizontal="center" vertical="center" wrapText="1"/>
    </xf>
    <xf numFmtId="0" fontId="22" fillId="58" borderId="1" xfId="1" applyNumberFormat="1" applyFont="1" applyFill="1" applyBorder="1" applyAlignment="1">
      <alignment horizontal="center" vertical="center" wrapText="1"/>
    </xf>
    <xf numFmtId="0" fontId="22" fillId="56" borderId="12" xfId="0" applyFont="1" applyFill="1" applyBorder="1" applyAlignment="1">
      <alignment horizontal="center" vertical="center" wrapText="1"/>
    </xf>
    <xf numFmtId="0" fontId="12" fillId="56" borderId="12" xfId="0" applyFont="1" applyFill="1" applyBorder="1" applyAlignment="1">
      <alignment horizontal="center" vertical="center" wrapText="1"/>
    </xf>
    <xf numFmtId="0" fontId="12" fillId="56" borderId="7" xfId="0" quotePrefix="1" applyFont="1" applyFill="1" applyBorder="1" applyAlignment="1">
      <alignment horizontal="center" vertical="center" wrapText="1"/>
    </xf>
    <xf numFmtId="0" fontId="22" fillId="31" borderId="10" xfId="1" applyFont="1" applyFill="1" applyBorder="1" applyAlignment="1">
      <alignment horizontal="center" vertical="center" wrapText="1"/>
    </xf>
    <xf numFmtId="164" fontId="12" fillId="31" borderId="10" xfId="0" applyNumberFormat="1" applyFont="1" applyFill="1" applyBorder="1" applyAlignment="1">
      <alignment horizontal="center" vertical="center" wrapText="1"/>
    </xf>
    <xf numFmtId="0" fontId="12" fillId="23" borderId="17" xfId="0" applyFont="1" applyFill="1" applyBorder="1" applyAlignment="1">
      <alignment horizontal="center" vertical="center" wrapText="1"/>
    </xf>
    <xf numFmtId="0" fontId="12" fillId="20" borderId="17" xfId="0" applyFont="1" applyFill="1" applyBorder="1" applyAlignment="1">
      <alignment horizontal="center" vertical="center" wrapText="1"/>
    </xf>
    <xf numFmtId="0" fontId="12" fillId="20" borderId="18" xfId="0" applyFont="1" applyFill="1" applyBorder="1" applyAlignment="1">
      <alignment horizontal="center" vertical="center" wrapText="1"/>
    </xf>
    <xf numFmtId="164" fontId="12" fillId="31" borderId="17" xfId="0" applyNumberFormat="1" applyFont="1" applyFill="1" applyBorder="1" applyAlignment="1">
      <alignment horizontal="center" vertical="center" wrapText="1"/>
    </xf>
    <xf numFmtId="164" fontId="12" fillId="27" borderId="17" xfId="0" applyNumberFormat="1" applyFont="1" applyFill="1" applyBorder="1" applyAlignment="1">
      <alignment horizontal="center" vertical="center" wrapText="1"/>
    </xf>
    <xf numFmtId="164" fontId="12" fillId="20" borderId="17" xfId="0" applyNumberFormat="1" applyFont="1" applyFill="1" applyBorder="1" applyAlignment="1">
      <alignment horizontal="center" vertical="center" wrapText="1"/>
    </xf>
    <xf numFmtId="0" fontId="12" fillId="31" borderId="18" xfId="0" applyFont="1" applyFill="1" applyBorder="1" applyAlignment="1">
      <alignment horizontal="center" vertical="center" wrapText="1"/>
    </xf>
    <xf numFmtId="0" fontId="12" fillId="27" borderId="18" xfId="0" applyFont="1" applyFill="1" applyBorder="1" applyAlignment="1">
      <alignment horizontal="center" vertical="center" wrapText="1"/>
    </xf>
    <xf numFmtId="0" fontId="12" fillId="29" borderId="18" xfId="0" quotePrefix="1" applyFont="1" applyFill="1" applyBorder="1" applyAlignment="1">
      <alignment horizontal="center" vertical="center" wrapText="1"/>
    </xf>
    <xf numFmtId="0" fontId="12" fillId="27" borderId="18" xfId="0" quotePrefix="1" applyFont="1" applyFill="1" applyBorder="1" applyAlignment="1">
      <alignment horizontal="center" vertical="center" wrapText="1"/>
    </xf>
    <xf numFmtId="0" fontId="12" fillId="31" borderId="17" xfId="0" applyFont="1" applyFill="1" applyBorder="1" applyAlignment="1">
      <alignment horizontal="center" vertical="center" wrapText="1"/>
    </xf>
    <xf numFmtId="0" fontId="22" fillId="31" borderId="17" xfId="1" applyFont="1" applyFill="1" applyBorder="1" applyAlignment="1">
      <alignment horizontal="center" vertical="center" wrapText="1"/>
    </xf>
    <xf numFmtId="0" fontId="22" fillId="27" borderId="17" xfId="1" applyFont="1" applyFill="1" applyBorder="1" applyAlignment="1">
      <alignment horizontal="center" vertical="center" wrapText="1"/>
    </xf>
    <xf numFmtId="0" fontId="22" fillId="29" borderId="17" xfId="1" applyFont="1" applyFill="1" applyBorder="1" applyAlignment="1">
      <alignment horizontal="center" vertical="center" wrapText="1"/>
    </xf>
    <xf numFmtId="0" fontId="22" fillId="20" borderId="17" xfId="1" applyFont="1" applyFill="1" applyBorder="1" applyAlignment="1">
      <alignment horizontal="center" vertical="center" wrapText="1"/>
    </xf>
    <xf numFmtId="0" fontId="26" fillId="27" borderId="17" xfId="1" applyFont="1" applyFill="1" applyBorder="1" applyAlignment="1">
      <alignment horizontal="center" vertical="center" wrapText="1"/>
    </xf>
    <xf numFmtId="0" fontId="22" fillId="15" borderId="17" xfId="0" applyFont="1" applyFill="1" applyBorder="1" applyAlignment="1">
      <alignment horizontal="center" vertical="center" wrapText="1"/>
    </xf>
    <xf numFmtId="0" fontId="22" fillId="20" borderId="17" xfId="0" applyFont="1" applyFill="1" applyBorder="1" applyAlignment="1">
      <alignment horizontal="center" vertical="center" wrapText="1"/>
    </xf>
    <xf numFmtId="0" fontId="12" fillId="23" borderId="14" xfId="0" applyFont="1" applyFill="1" applyBorder="1" applyAlignment="1">
      <alignment horizontal="center" vertical="center" wrapText="1"/>
    </xf>
    <xf numFmtId="0" fontId="12" fillId="21" borderId="17" xfId="0" applyFont="1" applyFill="1" applyBorder="1" applyAlignment="1">
      <alignment horizontal="center" vertical="center" wrapText="1"/>
    </xf>
    <xf numFmtId="0" fontId="12" fillId="60" borderId="17" xfId="0" applyFont="1" applyFill="1" applyBorder="1" applyAlignment="1">
      <alignment horizontal="center" vertical="center" wrapText="1"/>
    </xf>
    <xf numFmtId="0" fontId="12" fillId="60" borderId="1" xfId="0" applyFont="1" applyFill="1" applyBorder="1" applyAlignment="1">
      <alignment horizontal="center" vertical="center" wrapText="1"/>
    </xf>
    <xf numFmtId="164" fontId="12" fillId="61" borderId="17" xfId="0" applyNumberFormat="1" applyFont="1" applyFill="1" applyBorder="1" applyAlignment="1">
      <alignment horizontal="center" vertical="center" wrapText="1"/>
    </xf>
    <xf numFmtId="0" fontId="12" fillId="61" borderId="1" xfId="0" quotePrefix="1" applyFont="1" applyFill="1" applyBorder="1" applyAlignment="1">
      <alignment horizontal="center" vertical="center" wrapText="1"/>
    </xf>
    <xf numFmtId="0" fontId="22" fillId="61" borderId="1" xfId="1" applyFont="1" applyFill="1" applyBorder="1" applyAlignment="1">
      <alignment horizontal="center" vertical="center" wrapText="1"/>
    </xf>
    <xf numFmtId="164" fontId="12" fillId="61" borderId="1" xfId="0" applyNumberFormat="1" applyFont="1" applyFill="1" applyBorder="1" applyAlignment="1">
      <alignment horizontal="center" vertical="center" wrapText="1"/>
    </xf>
    <xf numFmtId="0" fontId="12" fillId="61" borderId="1" xfId="0" applyFont="1" applyFill="1" applyBorder="1" applyAlignment="1">
      <alignment horizontal="center" vertical="center" wrapText="1"/>
    </xf>
    <xf numFmtId="0" fontId="22" fillId="61" borderId="17" xfId="1" applyFont="1" applyFill="1" applyBorder="1" applyAlignment="1">
      <alignment horizontal="center" vertical="center" wrapText="1"/>
    </xf>
    <xf numFmtId="0" fontId="12" fillId="61" borderId="17" xfId="0" applyFont="1" applyFill="1" applyBorder="1" applyAlignment="1">
      <alignment horizontal="center" vertical="center" wrapText="1"/>
    </xf>
    <xf numFmtId="0" fontId="12" fillId="61" borderId="18" xfId="0" quotePrefix="1" applyFont="1" applyFill="1" applyBorder="1" applyAlignment="1">
      <alignment horizontal="center" vertical="center" wrapText="1"/>
    </xf>
    <xf numFmtId="164" fontId="12" fillId="20" borderId="10" xfId="0" applyNumberFormat="1" applyFont="1" applyFill="1" applyBorder="1" applyAlignment="1">
      <alignment horizontal="center" vertical="center" wrapText="1"/>
    </xf>
    <xf numFmtId="0" fontId="21" fillId="7" borderId="0" xfId="0" applyFont="1" applyFill="1" applyAlignment="1">
      <alignment horizontal="center" vertical="center" wrapText="1"/>
    </xf>
    <xf numFmtId="0" fontId="22" fillId="33" borderId="1" xfId="0" applyFont="1" applyFill="1" applyBorder="1" applyAlignment="1">
      <alignment horizontal="center" vertical="center" wrapText="1"/>
    </xf>
    <xf numFmtId="0" fontId="12" fillId="33" borderId="10" xfId="0" applyFont="1" applyFill="1" applyBorder="1" applyAlignment="1">
      <alignment horizontal="center" vertical="center" wrapText="1"/>
    </xf>
    <xf numFmtId="164" fontId="12" fillId="20" borderId="1" xfId="0" applyNumberFormat="1" applyFont="1" applyFill="1" applyBorder="1" applyAlignment="1">
      <alignment horizontal="center" vertical="center"/>
    </xf>
    <xf numFmtId="0" fontId="22" fillId="52" borderId="1" xfId="0" applyFont="1" applyFill="1" applyBorder="1" applyAlignment="1">
      <alignment horizontal="center" vertical="center" wrapText="1"/>
    </xf>
    <xf numFmtId="0" fontId="22" fillId="53" borderId="10" xfId="0" applyFont="1" applyFill="1" applyBorder="1" applyAlignment="1">
      <alignment horizontal="center" vertical="center" wrapText="1"/>
    </xf>
    <xf numFmtId="0" fontId="12" fillId="31" borderId="1" xfId="1" applyFont="1" applyFill="1" applyBorder="1" applyAlignment="1">
      <alignment horizontal="center" vertical="center" wrapText="1"/>
    </xf>
    <xf numFmtId="0" fontId="0" fillId="0" borderId="15" xfId="0" applyBorder="1" applyAlignment="1">
      <alignment horizontal="center" vertical="center" wrapText="1"/>
    </xf>
    <xf numFmtId="0" fontId="0" fillId="38" borderId="1" xfId="0" applyFill="1" applyBorder="1" applyAlignment="1">
      <alignment horizontal="center" vertical="center" wrapText="1"/>
    </xf>
    <xf numFmtId="0" fontId="19" fillId="47" borderId="1" xfId="0" applyFont="1" applyFill="1" applyBorder="1" applyAlignment="1">
      <alignment horizontal="center" vertical="center" wrapText="1"/>
    </xf>
    <xf numFmtId="0" fontId="19" fillId="47" borderId="1" xfId="1" applyFont="1" applyFill="1" applyBorder="1" applyAlignment="1">
      <alignment horizontal="center" vertical="center" wrapText="1"/>
    </xf>
    <xf numFmtId="0" fontId="24" fillId="55" borderId="12" xfId="1" applyFont="1" applyFill="1" applyBorder="1" applyAlignment="1">
      <alignment horizontal="center" vertical="center" wrapText="1"/>
    </xf>
    <xf numFmtId="164" fontId="19" fillId="55" borderId="12" xfId="0" applyNumberFormat="1" applyFont="1" applyFill="1" applyBorder="1" applyAlignment="1">
      <alignment horizontal="center" vertical="center" wrapText="1"/>
    </xf>
    <xf numFmtId="0" fontId="12" fillId="33" borderId="7" xfId="0" quotePrefix="1" applyFont="1" applyFill="1" applyBorder="1" applyAlignment="1">
      <alignment horizontal="center" vertical="center" wrapText="1"/>
    </xf>
    <xf numFmtId="0" fontId="23" fillId="20" borderId="1" xfId="0" applyFont="1" applyFill="1" applyBorder="1" applyAlignment="1">
      <alignment horizontal="center" vertical="center" wrapText="1"/>
    </xf>
    <xf numFmtId="0" fontId="12" fillId="28" borderId="10" xfId="0" applyFont="1" applyFill="1" applyBorder="1" applyAlignment="1">
      <alignment horizontal="center" vertical="center" wrapText="1"/>
    </xf>
    <xf numFmtId="0" fontId="12" fillId="27" borderId="10" xfId="0" quotePrefix="1" applyFont="1" applyFill="1" applyBorder="1" applyAlignment="1">
      <alignment horizontal="left" vertical="center" wrapText="1"/>
    </xf>
    <xf numFmtId="0" fontId="9" fillId="33" borderId="12" xfId="1" applyFill="1" applyBorder="1" applyAlignment="1">
      <alignment horizontal="center" vertical="center" wrapText="1"/>
    </xf>
    <xf numFmtId="0" fontId="12" fillId="16" borderId="10" xfId="0" applyFont="1" applyFill="1" applyBorder="1" applyAlignment="1">
      <alignment horizontal="left" vertical="center" wrapText="1"/>
    </xf>
    <xf numFmtId="0" fontId="12" fillId="29" borderId="7" xfId="0" quotePrefix="1" applyFont="1" applyFill="1" applyBorder="1" applyAlignment="1">
      <alignment horizontal="center" vertical="center" wrapText="1"/>
    </xf>
    <xf numFmtId="0" fontId="12" fillId="51" borderId="14" xfId="0" applyFont="1" applyFill="1" applyBorder="1" applyAlignment="1">
      <alignment horizontal="center" vertical="center" wrapText="1"/>
    </xf>
    <xf numFmtId="0" fontId="0" fillId="62" borderId="0" xfId="0" applyFill="1"/>
    <xf numFmtId="0" fontId="22" fillId="22" borderId="12" xfId="0" applyFont="1" applyFill="1" applyBorder="1" applyAlignment="1">
      <alignment horizontal="center" vertical="center" wrapText="1"/>
    </xf>
    <xf numFmtId="164" fontId="12" fillId="22" borderId="12" xfId="0" applyNumberFormat="1" applyFont="1" applyFill="1" applyBorder="1" applyAlignment="1">
      <alignment horizontal="center" vertical="center" wrapText="1"/>
    </xf>
    <xf numFmtId="164" fontId="0" fillId="33" borderId="12" xfId="0" applyNumberFormat="1" applyFill="1" applyBorder="1" applyAlignment="1">
      <alignment horizontal="center" vertical="center" wrapText="1"/>
    </xf>
    <xf numFmtId="164" fontId="0" fillId="27" borderId="1" xfId="0" applyNumberFormat="1" applyFill="1" applyBorder="1" applyAlignment="1">
      <alignment horizontal="center" vertical="center" wrapText="1"/>
    </xf>
    <xf numFmtId="164" fontId="0" fillId="34" borderId="12" xfId="0" applyNumberFormat="1" applyFill="1" applyBorder="1" applyAlignment="1">
      <alignment horizontal="center" vertical="center" wrapText="1"/>
    </xf>
    <xf numFmtId="0" fontId="0" fillId="33" borderId="10" xfId="0" quotePrefix="1" applyFill="1" applyBorder="1" applyAlignment="1">
      <alignment horizontal="center" vertical="center" wrapText="1"/>
    </xf>
    <xf numFmtId="0" fontId="0" fillId="27" borderId="1" xfId="0" applyFill="1" applyBorder="1" applyAlignment="1">
      <alignment horizontal="center" vertical="center" wrapText="1"/>
    </xf>
    <xf numFmtId="164" fontId="12" fillId="56" borderId="12" xfId="0" applyNumberFormat="1" applyFont="1" applyFill="1" applyBorder="1" applyAlignment="1">
      <alignment horizontal="center" vertical="center" wrapText="1"/>
    </xf>
    <xf numFmtId="0" fontId="22" fillId="59" borderId="12" xfId="0" applyFont="1" applyFill="1" applyBorder="1" applyAlignment="1">
      <alignment horizontal="center" vertical="center" wrapText="1"/>
    </xf>
    <xf numFmtId="0" fontId="22" fillId="15" borderId="7" xfId="0" applyFont="1" applyFill="1" applyBorder="1" applyAlignment="1">
      <alignment horizontal="center" vertical="center" wrapText="1"/>
    </xf>
    <xf numFmtId="0" fontId="22" fillId="20" borderId="15" xfId="1" applyFont="1" applyFill="1" applyBorder="1" applyAlignment="1">
      <alignment horizontal="center" vertical="center" wrapText="1"/>
    </xf>
    <xf numFmtId="0" fontId="22" fillId="27" borderId="11" xfId="1" applyFont="1" applyFill="1" applyBorder="1" applyAlignment="1">
      <alignment horizontal="center" vertical="center" wrapText="1"/>
    </xf>
    <xf numFmtId="0" fontId="12" fillId="27" borderId="11" xfId="0" quotePrefix="1" applyFont="1" applyFill="1" applyBorder="1" applyAlignment="1">
      <alignment horizontal="center" vertical="center" wrapText="1"/>
    </xf>
    <xf numFmtId="0" fontId="12" fillId="57" borderId="11" xfId="0" quotePrefix="1" applyFont="1" applyFill="1" applyBorder="1" applyAlignment="1">
      <alignment horizontal="center" vertical="center" wrapText="1"/>
    </xf>
    <xf numFmtId="0" fontId="23" fillId="24" borderId="1" xfId="0" applyFont="1" applyFill="1" applyBorder="1" applyAlignment="1">
      <alignment horizontal="center" vertical="center" wrapText="1"/>
    </xf>
    <xf numFmtId="0" fontId="23" fillId="34" borderId="12" xfId="0" applyFont="1" applyFill="1" applyBorder="1" applyAlignment="1">
      <alignment horizontal="center" vertical="center" wrapText="1"/>
    </xf>
    <xf numFmtId="164" fontId="12" fillId="24" borderId="1" xfId="0" applyNumberFormat="1" applyFont="1" applyFill="1" applyBorder="1" applyAlignment="1">
      <alignment horizontal="center" vertical="center" wrapText="1"/>
    </xf>
    <xf numFmtId="164" fontId="12" fillId="35" borderId="12" xfId="0" applyNumberFormat="1" applyFont="1" applyFill="1" applyBorder="1" applyAlignment="1">
      <alignment horizontal="center" vertical="center" wrapText="1"/>
    </xf>
    <xf numFmtId="0" fontId="12" fillId="34" borderId="7" xfId="0" quotePrefix="1" applyFont="1" applyFill="1" applyBorder="1" applyAlignment="1">
      <alignment horizontal="center" vertical="center" wrapText="1"/>
    </xf>
    <xf numFmtId="0" fontId="12" fillId="35" borderId="7" xfId="0" quotePrefix="1" applyFont="1" applyFill="1" applyBorder="1" applyAlignment="1">
      <alignment horizontal="center" vertical="center" wrapText="1"/>
    </xf>
    <xf numFmtId="0" fontId="12" fillId="17" borderId="1" xfId="0" applyFont="1" applyFill="1" applyBorder="1" applyAlignment="1">
      <alignment horizontal="center" vertical="center" wrapText="1"/>
    </xf>
    <xf numFmtId="0" fontId="22" fillId="23" borderId="1" xfId="0" applyFont="1" applyFill="1" applyBorder="1" applyAlignment="1">
      <alignment horizontal="center" vertical="center" wrapText="1"/>
    </xf>
    <xf numFmtId="0" fontId="22" fillId="17" borderId="1" xfId="0" applyFont="1" applyFill="1" applyBorder="1" applyAlignment="1">
      <alignment horizontal="center" vertical="center" wrapText="1"/>
    </xf>
    <xf numFmtId="164" fontId="12" fillId="17" borderId="1" xfId="0" applyNumberFormat="1" applyFont="1" applyFill="1" applyBorder="1" applyAlignment="1">
      <alignment horizontal="center" vertical="center" wrapText="1"/>
    </xf>
    <xf numFmtId="0" fontId="12" fillId="27" borderId="2" xfId="0" applyFont="1" applyFill="1" applyBorder="1" applyAlignment="1">
      <alignment horizontal="center" vertical="center" wrapText="1"/>
    </xf>
    <xf numFmtId="0" fontId="12" fillId="30" borderId="5" xfId="0" quotePrefix="1" applyFont="1" applyFill="1" applyBorder="1" applyAlignment="1">
      <alignment horizontal="center" vertical="center" wrapText="1"/>
    </xf>
    <xf numFmtId="0" fontId="12" fillId="17" borderId="7"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22" fillId="27" borderId="12" xfId="1" applyNumberFormat="1" applyFont="1" applyFill="1" applyBorder="1" applyAlignment="1">
      <alignment horizontal="center" vertical="center" wrapText="1"/>
    </xf>
    <xf numFmtId="164" fontId="12" fillId="37" borderId="1" xfId="0" applyNumberFormat="1" applyFont="1" applyFill="1" applyBorder="1" applyAlignment="1">
      <alignment horizontal="center" vertical="center" wrapText="1"/>
    </xf>
    <xf numFmtId="0" fontId="12" fillId="37" borderId="1" xfId="0" applyFont="1" applyFill="1" applyBorder="1" applyAlignment="1">
      <alignment horizontal="center" vertical="center" wrapText="1"/>
    </xf>
    <xf numFmtId="0" fontId="12" fillId="16" borderId="12" xfId="0" quotePrefix="1" applyFont="1" applyFill="1" applyBorder="1" applyAlignment="1">
      <alignment horizontal="center" vertical="center" wrapText="1"/>
    </xf>
    <xf numFmtId="0" fontId="12" fillId="37" borderId="1" xfId="0" quotePrefix="1" applyFont="1" applyFill="1" applyBorder="1" applyAlignment="1">
      <alignment horizontal="center" vertical="center" wrapText="1"/>
    </xf>
    <xf numFmtId="0" fontId="26" fillId="61" borderId="17" xfId="1" applyFont="1" applyFill="1" applyBorder="1" applyAlignment="1">
      <alignment horizontal="center" vertical="center" wrapText="1"/>
    </xf>
    <xf numFmtId="0" fontId="22" fillId="50" borderId="17" xfId="0" applyFont="1" applyFill="1" applyBorder="1" applyAlignment="1">
      <alignment horizontal="center" vertical="center" wrapText="1"/>
    </xf>
    <xf numFmtId="0" fontId="22" fillId="61" borderId="17" xfId="0" applyFont="1" applyFill="1" applyBorder="1" applyAlignment="1">
      <alignment horizontal="center" vertical="center" wrapText="1"/>
    </xf>
    <xf numFmtId="0" fontId="12" fillId="29" borderId="1" xfId="0" quotePrefix="1" applyFont="1" applyFill="1" applyBorder="1" applyAlignment="1">
      <alignment horizontal="left" vertical="center" wrapText="1"/>
    </xf>
    <xf numFmtId="0" fontId="12" fillId="31" borderId="19" xfId="0" applyFont="1" applyFill="1" applyBorder="1" applyAlignment="1">
      <alignment horizontal="center" vertical="center" wrapText="1"/>
    </xf>
    <xf numFmtId="0" fontId="12" fillId="27" borderId="18" xfId="0" quotePrefix="1" applyFont="1" applyFill="1" applyBorder="1" applyAlignment="1">
      <alignment horizontal="left" vertical="center" wrapText="1"/>
    </xf>
    <xf numFmtId="0" fontId="12" fillId="61" borderId="16" xfId="0" applyFont="1" applyFill="1" applyBorder="1" applyAlignment="1">
      <alignment horizontal="center" vertical="center" wrapText="1"/>
    </xf>
    <xf numFmtId="0" fontId="12" fillId="33" borderId="14" xfId="0" applyFont="1" applyFill="1" applyBorder="1" applyAlignment="1">
      <alignment horizontal="center" vertical="center" wrapText="1"/>
    </xf>
    <xf numFmtId="0" fontId="12" fillId="31" borderId="14" xfId="0" applyFont="1" applyFill="1" applyBorder="1" applyAlignment="1">
      <alignment horizontal="center" vertical="center" wrapText="1"/>
    </xf>
    <xf numFmtId="0" fontId="12" fillId="21" borderId="14" xfId="0" applyFont="1" applyFill="1" applyBorder="1" applyAlignment="1">
      <alignment horizontal="center" vertical="center" wrapText="1"/>
    </xf>
    <xf numFmtId="0" fontId="19" fillId="20" borderId="14" xfId="0" applyFont="1" applyFill="1" applyBorder="1" applyAlignment="1">
      <alignment horizontal="center" vertical="center" wrapText="1"/>
    </xf>
    <xf numFmtId="0" fontId="12" fillId="20" borderId="4" xfId="0" applyFont="1" applyFill="1" applyBorder="1" applyAlignment="1">
      <alignment horizontal="center" vertical="center" wrapText="1"/>
    </xf>
    <xf numFmtId="0" fontId="12" fillId="20" borderId="9" xfId="0" applyFont="1" applyFill="1" applyBorder="1" applyAlignment="1">
      <alignment horizontal="center" vertical="center" wrapText="1"/>
    </xf>
    <xf numFmtId="0" fontId="12" fillId="26" borderId="14" xfId="0" applyFont="1" applyFill="1" applyBorder="1" applyAlignment="1">
      <alignment horizontal="center" vertical="center" wrapText="1"/>
    </xf>
    <xf numFmtId="0" fontId="12" fillId="23" borderId="9" xfId="0" applyFont="1" applyFill="1" applyBorder="1" applyAlignment="1">
      <alignment horizontal="center" vertical="center" wrapText="1"/>
    </xf>
    <xf numFmtId="0" fontId="12" fillId="16" borderId="4" xfId="0" applyFont="1" applyFill="1" applyBorder="1" applyAlignment="1">
      <alignment horizontal="center" vertical="center" wrapText="1"/>
    </xf>
    <xf numFmtId="0" fontId="12" fillId="32" borderId="4" xfId="0" applyFont="1" applyFill="1" applyBorder="1" applyAlignment="1">
      <alignment horizontal="center" vertical="center" wrapText="1"/>
    </xf>
    <xf numFmtId="0" fontId="12" fillId="23" borderId="4" xfId="0" applyFont="1" applyFill="1" applyBorder="1" applyAlignment="1">
      <alignment horizontal="center" vertical="center" wrapText="1"/>
    </xf>
    <xf numFmtId="0" fontId="19" fillId="47" borderId="14" xfId="0" applyFont="1" applyFill="1" applyBorder="1" applyAlignment="1">
      <alignment horizontal="center" vertical="center" wrapText="1"/>
    </xf>
    <xf numFmtId="0" fontId="19" fillId="55" borderId="14" xfId="0" applyFont="1" applyFill="1" applyBorder="1" applyAlignment="1">
      <alignment horizontal="center" vertical="center" wrapText="1"/>
    </xf>
    <xf numFmtId="0" fontId="12" fillId="35" borderId="14" xfId="0" applyFont="1" applyFill="1" applyBorder="1" applyAlignment="1">
      <alignment horizontal="center" vertical="center" wrapText="1"/>
    </xf>
    <xf numFmtId="0" fontId="12" fillId="34" borderId="14" xfId="0" applyFont="1" applyFill="1" applyBorder="1" applyAlignment="1">
      <alignment horizontal="center" vertical="center" wrapText="1"/>
    </xf>
    <xf numFmtId="0" fontId="12" fillId="51" borderId="4" xfId="0" applyFont="1" applyFill="1" applyBorder="1" applyAlignment="1">
      <alignment horizontal="center" vertical="center" wrapText="1"/>
    </xf>
    <xf numFmtId="0" fontId="12" fillId="27"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12" fillId="38" borderId="10" xfId="0" applyFont="1" applyFill="1" applyBorder="1" applyAlignment="1">
      <alignment horizontal="center" vertical="center" wrapText="1"/>
    </xf>
    <xf numFmtId="0" fontId="22" fillId="26" borderId="1" xfId="0" applyFont="1" applyFill="1" applyBorder="1" applyAlignment="1">
      <alignment horizontal="center" vertical="center" wrapText="1"/>
    </xf>
    <xf numFmtId="164" fontId="12" fillId="26" borderId="1" xfId="0" applyNumberFormat="1" applyFont="1" applyFill="1" applyBorder="1" applyAlignment="1">
      <alignment horizontal="center" vertical="center" wrapText="1"/>
    </xf>
    <xf numFmtId="0" fontId="9" fillId="54" borderId="12" xfId="1" applyNumberFormat="1" applyFill="1" applyBorder="1" applyAlignment="1">
      <alignment horizontal="center" vertical="center" wrapText="1"/>
    </xf>
    <xf numFmtId="0" fontId="9" fillId="52" borderId="12" xfId="1" applyFill="1" applyBorder="1" applyAlignment="1">
      <alignment horizontal="center" vertical="center" wrapText="1"/>
    </xf>
    <xf numFmtId="0" fontId="9" fillId="33" borderId="1" xfId="1" applyFill="1" applyBorder="1" applyAlignment="1">
      <alignment horizontal="center" vertical="center" wrapText="1"/>
    </xf>
    <xf numFmtId="0" fontId="12" fillId="33" borderId="12" xfId="1" applyFont="1" applyFill="1" applyBorder="1" applyAlignment="1">
      <alignment horizontal="center" vertical="center" wrapText="1"/>
    </xf>
    <xf numFmtId="0" fontId="9" fillId="51" borderId="12" xfId="1" applyFill="1" applyBorder="1" applyAlignment="1">
      <alignment horizontal="center" vertical="center" wrapText="1"/>
    </xf>
    <xf numFmtId="0" fontId="22" fillId="18" borderId="12" xfId="1" applyFont="1" applyFill="1" applyBorder="1" applyAlignment="1">
      <alignment horizontal="center" vertical="center" wrapText="1"/>
    </xf>
    <xf numFmtId="0" fontId="22" fillId="26" borderId="12" xfId="1" applyFont="1" applyFill="1" applyBorder="1" applyAlignment="1">
      <alignment horizontal="center" vertical="center" wrapText="1"/>
    </xf>
    <xf numFmtId="0" fontId="9" fillId="29" borderId="12" xfId="1" applyFill="1" applyBorder="1" applyAlignment="1">
      <alignment horizontal="center" vertical="center" wrapText="1"/>
    </xf>
    <xf numFmtId="0" fontId="9" fillId="20" borderId="12" xfId="1" applyFill="1" applyBorder="1" applyAlignment="1">
      <alignment horizontal="center" vertical="center" wrapText="1"/>
    </xf>
    <xf numFmtId="0" fontId="22" fillId="51" borderId="12" xfId="0" applyFont="1" applyFill="1" applyBorder="1" applyAlignment="1">
      <alignment horizontal="center" vertical="center" wrapText="1"/>
    </xf>
    <xf numFmtId="0" fontId="23" fillId="20" borderId="12" xfId="0" applyFont="1" applyFill="1" applyBorder="1" applyAlignment="1">
      <alignment horizontal="center" vertical="center" wrapText="1"/>
    </xf>
    <xf numFmtId="0" fontId="12" fillId="34" borderId="12" xfId="0" quotePrefix="1" applyFont="1" applyFill="1" applyBorder="1" applyAlignment="1">
      <alignment horizontal="center" vertical="center" wrapText="1"/>
    </xf>
    <xf numFmtId="0" fontId="12" fillId="20" borderId="1" xfId="0" quotePrefix="1" applyFont="1" applyFill="1" applyBorder="1" applyAlignment="1">
      <alignment horizontal="center" vertical="center" wrapText="1"/>
    </xf>
    <xf numFmtId="0" fontId="12" fillId="33" borderId="10" xfId="0" quotePrefix="1" applyFont="1" applyFill="1" applyBorder="1" applyAlignment="1">
      <alignment horizontal="center" vertical="center" wrapText="1"/>
    </xf>
    <xf numFmtId="0" fontId="12" fillId="35" borderId="1" xfId="0" quotePrefix="1" applyFont="1" applyFill="1" applyBorder="1" applyAlignment="1">
      <alignment horizontal="left" vertical="center" wrapText="1"/>
    </xf>
    <xf numFmtId="0" fontId="12" fillId="33" borderId="10" xfId="0" applyFont="1" applyFill="1" applyBorder="1" applyAlignment="1">
      <alignment horizontal="left" vertical="center" wrapText="1"/>
    </xf>
    <xf numFmtId="0" fontId="10" fillId="38" borderId="15" xfId="0" applyFont="1" applyFill="1" applyBorder="1" applyAlignment="1">
      <alignment horizontal="center" vertical="center" wrapText="1"/>
    </xf>
    <xf numFmtId="0" fontId="0" fillId="38" borderId="4" xfId="0" applyFill="1" applyBorder="1" applyAlignment="1">
      <alignment horizontal="center" vertical="center" wrapText="1"/>
    </xf>
    <xf numFmtId="0" fontId="19" fillId="54" borderId="14" xfId="0" applyFont="1" applyFill="1" applyBorder="1" applyAlignment="1">
      <alignment horizontal="center" vertical="center" wrapText="1"/>
    </xf>
    <xf numFmtId="0" fontId="12" fillId="24" borderId="14" xfId="0" applyFont="1" applyFill="1" applyBorder="1" applyAlignment="1">
      <alignment horizontal="center" vertical="center" wrapText="1"/>
    </xf>
    <xf numFmtId="0" fontId="12" fillId="36" borderId="14" xfId="0" applyFont="1" applyFill="1" applyBorder="1" applyAlignment="1">
      <alignment horizontal="center" vertical="center" wrapText="1"/>
    </xf>
    <xf numFmtId="0" fontId="19" fillId="54" borderId="1" xfId="0" applyFont="1" applyFill="1" applyBorder="1" applyAlignment="1">
      <alignment horizontal="center" vertical="center" wrapText="1"/>
    </xf>
    <xf numFmtId="0" fontId="12" fillId="20" borderId="1" xfId="0" applyFont="1" applyFill="1" applyBorder="1" applyAlignment="1">
      <alignment vertical="center" wrapText="1"/>
    </xf>
    <xf numFmtId="0" fontId="22" fillId="43" borderId="12" xfId="1" applyFont="1" applyFill="1" applyBorder="1" applyAlignment="1">
      <alignment horizontal="center" vertical="center" wrapText="1"/>
    </xf>
    <xf numFmtId="0" fontId="22" fillId="24" borderId="1" xfId="1" applyFont="1" applyFill="1" applyBorder="1" applyAlignment="1">
      <alignment horizontal="center" vertical="center" wrapText="1"/>
    </xf>
    <xf numFmtId="0" fontId="22" fillId="36" borderId="1" xfId="1" applyFont="1" applyFill="1" applyBorder="1" applyAlignment="1">
      <alignment horizontal="center" vertical="center" wrapText="1"/>
    </xf>
    <xf numFmtId="0" fontId="9" fillId="31" borderId="1" xfId="1" applyFill="1" applyBorder="1" applyAlignment="1">
      <alignment horizontal="center" vertical="center" wrapText="1"/>
    </xf>
    <xf numFmtId="164" fontId="19" fillId="43" borderId="12" xfId="0" applyNumberFormat="1" applyFont="1" applyFill="1" applyBorder="1" applyAlignment="1">
      <alignment horizontal="center" vertical="center" wrapText="1"/>
    </xf>
    <xf numFmtId="0" fontId="25" fillId="44" borderId="12" xfId="1" applyFont="1" applyFill="1" applyBorder="1" applyAlignment="1">
      <alignment horizontal="center" vertical="center" wrapText="1"/>
    </xf>
    <xf numFmtId="0" fontId="9" fillId="36" borderId="1" xfId="1" applyFill="1" applyBorder="1" applyAlignment="1">
      <alignment horizontal="center" vertical="center" wrapText="1"/>
    </xf>
    <xf numFmtId="0" fontId="19" fillId="43" borderId="12" xfId="0" applyFont="1" applyFill="1" applyBorder="1" applyAlignment="1">
      <alignment horizontal="center" vertical="center" wrapText="1"/>
    </xf>
    <xf numFmtId="164" fontId="12" fillId="27" borderId="10" xfId="0" applyNumberFormat="1" applyFont="1" applyFill="1" applyBorder="1" applyAlignment="1">
      <alignment horizontal="center" vertical="center" wrapText="1"/>
    </xf>
    <xf numFmtId="0" fontId="12" fillId="26" borderId="12" xfId="0" quotePrefix="1" applyFont="1" applyFill="1" applyBorder="1" applyAlignment="1">
      <alignment horizontal="center" vertical="center" wrapText="1"/>
    </xf>
    <xf numFmtId="0" fontId="12" fillId="31" borderId="1" xfId="0" quotePrefix="1" applyFont="1" applyFill="1" applyBorder="1" applyAlignment="1">
      <alignment horizontal="center" vertical="center" wrapText="1"/>
    </xf>
    <xf numFmtId="0" fontId="12" fillId="36" borderId="10" xfId="0" quotePrefix="1" applyFont="1" applyFill="1" applyBorder="1" applyAlignment="1">
      <alignment horizontal="center" vertical="center" wrapText="1"/>
    </xf>
    <xf numFmtId="0" fontId="19" fillId="48" borderId="12" xfId="0" quotePrefix="1" applyFont="1" applyFill="1" applyBorder="1" applyAlignment="1">
      <alignment horizontal="center" vertical="center" wrapText="1"/>
    </xf>
    <xf numFmtId="0" fontId="12" fillId="23" borderId="0" xfId="0" applyFont="1" applyFill="1" applyAlignment="1">
      <alignment horizontal="center" vertical="center" wrapText="1"/>
    </xf>
    <xf numFmtId="0" fontId="12" fillId="20" borderId="0" xfId="0" applyFont="1" applyFill="1" applyAlignment="1">
      <alignment horizontal="center" vertical="center" wrapText="1"/>
    </xf>
    <xf numFmtId="0" fontId="12" fillId="34" borderId="12" xfId="1" applyFont="1" applyFill="1" applyBorder="1" applyAlignment="1">
      <alignment horizontal="center" vertical="center" wrapText="1"/>
    </xf>
    <xf numFmtId="0" fontId="12" fillId="23" borderId="15" xfId="0" applyFont="1" applyFill="1" applyBorder="1" applyAlignment="1">
      <alignment horizontal="center" vertical="center" wrapText="1"/>
    </xf>
    <xf numFmtId="0" fontId="22" fillId="27" borderId="0" xfId="1" applyFont="1" applyFill="1" applyBorder="1" applyAlignment="1">
      <alignment horizontal="center" vertical="center" wrapText="1"/>
    </xf>
    <xf numFmtId="0" fontId="20" fillId="20" borderId="1" xfId="0" applyFont="1" applyFill="1" applyBorder="1" applyAlignment="1">
      <alignment horizontal="center" vertical="center"/>
    </xf>
    <xf numFmtId="0" fontId="22" fillId="31" borderId="15" xfId="1" applyFont="1" applyFill="1" applyBorder="1" applyAlignment="1">
      <alignment horizontal="center" vertical="center" wrapText="1"/>
    </xf>
    <xf numFmtId="0" fontId="12" fillId="31" borderId="15" xfId="0" applyFont="1" applyFill="1" applyBorder="1" applyAlignment="1">
      <alignment horizontal="center" vertical="center" wrapText="1"/>
    </xf>
    <xf numFmtId="164" fontId="12" fillId="31" borderId="15" xfId="0" applyNumberFormat="1" applyFont="1" applyFill="1" applyBorder="1" applyAlignment="1">
      <alignment horizontal="center" vertical="center" wrapText="1"/>
    </xf>
    <xf numFmtId="0" fontId="9" fillId="27" borderId="12" xfId="1" applyNumberFormat="1" applyFill="1" applyBorder="1" applyAlignment="1">
      <alignment horizontal="center" vertical="center" wrapText="1"/>
    </xf>
    <xf numFmtId="0" fontId="9" fillId="30" borderId="1" xfId="1" applyFill="1" applyBorder="1" applyAlignment="1">
      <alignment horizontal="center" vertical="center" wrapText="1"/>
    </xf>
    <xf numFmtId="164" fontId="0" fillId="29" borderId="1" xfId="0" applyNumberFormat="1" applyFill="1" applyBorder="1" applyAlignment="1">
      <alignment horizontal="center" vertical="center" wrapText="1"/>
    </xf>
    <xf numFmtId="0" fontId="22" fillId="20" borderId="12" xfId="0" applyFont="1" applyFill="1" applyBorder="1" applyAlignment="1">
      <alignment vertical="center" wrapText="1"/>
    </xf>
    <xf numFmtId="0" fontId="0" fillId="20" borderId="10" xfId="0" applyFill="1" applyBorder="1" applyAlignment="1">
      <alignment wrapText="1"/>
    </xf>
    <xf numFmtId="0" fontId="0" fillId="34" borderId="10" xfId="0" applyFill="1" applyBorder="1" applyAlignment="1">
      <alignment horizontal="center" vertical="center" wrapText="1"/>
    </xf>
    <xf numFmtId="0" fontId="0" fillId="16" borderId="1" xfId="0" quotePrefix="1" applyFill="1" applyBorder="1" applyAlignment="1">
      <alignment horizontal="center" vertical="center" wrapText="1"/>
    </xf>
    <xf numFmtId="0" fontId="0" fillId="31" borderId="1" xfId="0" applyFill="1" applyBorder="1" applyAlignment="1">
      <alignment horizontal="center" vertical="center" wrapText="1"/>
    </xf>
    <xf numFmtId="0" fontId="0" fillId="29" borderId="1" xfId="0" quotePrefix="1" applyFill="1" applyBorder="1" applyAlignment="1">
      <alignment horizontal="center" vertical="center" wrapText="1"/>
    </xf>
    <xf numFmtId="0" fontId="12" fillId="33" borderId="0" xfId="0" applyFont="1" applyFill="1" applyAlignment="1">
      <alignment horizontal="center" vertical="center" wrapText="1"/>
    </xf>
    <xf numFmtId="164" fontId="12" fillId="57" borderId="1" xfId="0" applyNumberFormat="1" applyFont="1" applyFill="1" applyBorder="1" applyAlignment="1">
      <alignment horizontal="center" vertical="center" wrapText="1"/>
    </xf>
    <xf numFmtId="0" fontId="12" fillId="16" borderId="11" xfId="0" applyFont="1" applyFill="1" applyBorder="1" applyAlignment="1">
      <alignment horizontal="left" vertical="center" wrapText="1"/>
    </xf>
    <xf numFmtId="0" fontId="12" fillId="29" borderId="11" xfId="0" quotePrefix="1" applyFont="1" applyFill="1" applyBorder="1" applyAlignment="1">
      <alignment horizontal="center" vertical="center" wrapText="1"/>
    </xf>
    <xf numFmtId="0" fontId="22" fillId="23" borderId="12" xfId="1" applyNumberFormat="1" applyFont="1" applyFill="1" applyBorder="1" applyAlignment="1">
      <alignment horizontal="center" vertical="center" wrapText="1"/>
    </xf>
    <xf numFmtId="0" fontId="22" fillId="20" borderId="1" xfId="1" applyNumberFormat="1" applyFont="1" applyFill="1" applyBorder="1" applyAlignment="1">
      <alignment horizontal="center" vertical="center" wrapText="1"/>
    </xf>
    <xf numFmtId="0" fontId="22" fillId="20" borderId="10" xfId="1" applyFont="1" applyFill="1" applyBorder="1" applyAlignment="1">
      <alignment horizontal="center" vertical="center" wrapText="1"/>
    </xf>
    <xf numFmtId="164" fontId="12" fillId="20" borderId="0" xfId="0" applyNumberFormat="1" applyFont="1" applyFill="1" applyAlignment="1">
      <alignment horizontal="center" vertical="center" wrapText="1"/>
    </xf>
    <xf numFmtId="164" fontId="12" fillId="23" borderId="12" xfId="0" applyNumberFormat="1" applyFont="1" applyFill="1" applyBorder="1" applyAlignment="1">
      <alignment horizontal="center" vertical="center" wrapText="1"/>
    </xf>
    <xf numFmtId="0" fontId="0" fillId="23" borderId="12" xfId="0" applyFill="1" applyBorder="1" applyAlignment="1">
      <alignment horizontal="center" vertical="center" wrapText="1"/>
    </xf>
    <xf numFmtId="0" fontId="22" fillId="57" borderId="1" xfId="1" applyFont="1" applyFill="1" applyBorder="1" applyAlignment="1">
      <alignment horizontal="center" vertical="center" wrapText="1"/>
    </xf>
    <xf numFmtId="0" fontId="12" fillId="57" borderId="11" xfId="0" applyFont="1" applyFill="1" applyBorder="1" applyAlignment="1">
      <alignment horizontal="center" vertical="center" wrapText="1"/>
    </xf>
    <xf numFmtId="0" fontId="12" fillId="34" borderId="5" xfId="0" quotePrefix="1" applyFont="1" applyFill="1" applyBorder="1" applyAlignment="1">
      <alignment horizontal="center" vertical="center" wrapText="1"/>
    </xf>
    <xf numFmtId="0" fontId="12" fillId="20" borderId="11" xfId="0" applyFont="1" applyFill="1" applyBorder="1" applyAlignment="1">
      <alignment horizontal="center" vertical="center" wrapText="1"/>
    </xf>
    <xf numFmtId="0" fontId="12" fillId="33" borderId="11" xfId="0" quotePrefix="1" applyFont="1" applyFill="1" applyBorder="1" applyAlignment="1">
      <alignment horizontal="center" vertical="center" wrapText="1"/>
    </xf>
    <xf numFmtId="0" fontId="12" fillId="36" borderId="7" xfId="0" quotePrefix="1" applyFont="1" applyFill="1" applyBorder="1" applyAlignment="1">
      <alignment horizontal="center" vertical="center" wrapText="1"/>
    </xf>
    <xf numFmtId="0" fontId="12" fillId="16" borderId="2" xfId="0" quotePrefix="1" applyFont="1" applyFill="1" applyBorder="1" applyAlignment="1">
      <alignment horizontal="center" vertical="center" wrapText="1"/>
    </xf>
    <xf numFmtId="0" fontId="12" fillId="27" borderId="1" xfId="0" quotePrefix="1" applyFont="1" applyFill="1" applyBorder="1" applyAlignment="1">
      <alignment horizontal="left" vertical="center" wrapText="1"/>
    </xf>
    <xf numFmtId="0" fontId="30" fillId="38" borderId="1" xfId="0" applyFont="1" applyFill="1" applyBorder="1" applyAlignment="1">
      <alignment horizontal="center" vertical="center" wrapText="1"/>
    </xf>
    <xf numFmtId="0" fontId="22" fillId="49" borderId="1" xfId="0" applyFont="1" applyFill="1" applyBorder="1" applyAlignment="1">
      <alignment horizontal="center" vertical="center" wrapText="1"/>
    </xf>
    <xf numFmtId="0" fontId="12" fillId="30" borderId="11" xfId="0" quotePrefix="1"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1" borderId="4" xfId="0" applyFont="1" applyFill="1" applyBorder="1" applyAlignment="1">
      <alignment horizontal="center" vertical="center" wrapText="1"/>
    </xf>
    <xf numFmtId="0" fontId="12" fillId="18" borderId="14" xfId="0" applyFont="1" applyFill="1" applyBorder="1" applyAlignment="1">
      <alignment horizontal="center" vertical="center" wrapText="1"/>
    </xf>
    <xf numFmtId="0" fontId="12" fillId="21" borderId="9" xfId="0" applyFont="1" applyFill="1" applyBorder="1" applyAlignment="1">
      <alignment horizontal="center" vertical="center" wrapText="1"/>
    </xf>
    <xf numFmtId="0" fontId="19" fillId="42" borderId="14" xfId="0" applyFont="1" applyFill="1" applyBorder="1" applyAlignment="1">
      <alignment horizontal="center" vertical="center" wrapText="1"/>
    </xf>
    <xf numFmtId="0" fontId="12" fillId="31" borderId="4" xfId="0" applyFont="1" applyFill="1" applyBorder="1" applyAlignment="1">
      <alignment horizontal="center" vertical="center" wrapText="1"/>
    </xf>
    <xf numFmtId="0" fontId="12" fillId="21" borderId="15" xfId="0" applyFont="1" applyFill="1" applyBorder="1" applyAlignment="1">
      <alignment horizontal="center" vertical="center" wrapText="1"/>
    </xf>
    <xf numFmtId="0" fontId="19" fillId="42" borderId="1" xfId="0" applyFont="1" applyFill="1" applyBorder="1" applyAlignment="1">
      <alignment horizontal="center" vertical="center" wrapText="1"/>
    </xf>
    <xf numFmtId="0" fontId="12" fillId="27" borderId="4" xfId="0" applyFont="1" applyFill="1" applyBorder="1" applyAlignment="1">
      <alignment horizontal="center" vertical="center" wrapText="1"/>
    </xf>
    <xf numFmtId="0" fontId="12" fillId="21" borderId="0" xfId="0" applyFont="1" applyFill="1" applyAlignment="1">
      <alignment horizontal="center" vertical="center" wrapText="1"/>
    </xf>
    <xf numFmtId="0" fontId="9" fillId="51" borderId="1" xfId="1" applyFill="1" applyBorder="1" applyAlignment="1">
      <alignment horizontal="center" vertical="center" wrapText="1"/>
    </xf>
    <xf numFmtId="0" fontId="22" fillId="21" borderId="15" xfId="0" applyFont="1" applyFill="1" applyBorder="1" applyAlignment="1">
      <alignment horizontal="center" vertical="center" wrapText="1"/>
    </xf>
    <xf numFmtId="0" fontId="22" fillId="27" borderId="10" xfId="1" applyFont="1" applyFill="1" applyBorder="1" applyAlignment="1">
      <alignment horizontal="center" vertical="center" wrapText="1"/>
    </xf>
    <xf numFmtId="0" fontId="9" fillId="24" borderId="12" xfId="1" applyFill="1" applyBorder="1" applyAlignment="1">
      <alignment horizontal="center" vertical="center" wrapText="1"/>
    </xf>
    <xf numFmtId="0" fontId="22" fillId="27" borderId="4" xfId="1" applyFont="1" applyFill="1" applyBorder="1" applyAlignment="1">
      <alignment horizontal="center" vertical="center" wrapText="1"/>
    </xf>
    <xf numFmtId="0" fontId="9" fillId="27" borderId="1" xfId="2" applyFill="1" applyBorder="1" applyAlignment="1">
      <alignment horizontal="center" vertical="center" wrapText="1"/>
    </xf>
    <xf numFmtId="164" fontId="12" fillId="37" borderId="12" xfId="0" applyNumberFormat="1" applyFont="1" applyFill="1" applyBorder="1" applyAlignment="1">
      <alignment horizontal="center" vertical="center" wrapText="1"/>
    </xf>
    <xf numFmtId="164" fontId="12" fillId="29" borderId="15" xfId="0" applyNumberFormat="1" applyFont="1" applyFill="1" applyBorder="1" applyAlignment="1">
      <alignment horizontal="center" vertical="center" wrapText="1"/>
    </xf>
    <xf numFmtId="0" fontId="15" fillId="27" borderId="12" xfId="1" applyFont="1" applyFill="1" applyBorder="1" applyAlignment="1">
      <alignment horizontal="center" vertical="center" wrapText="1"/>
    </xf>
    <xf numFmtId="164" fontId="12" fillId="27" borderId="4" xfId="0" applyNumberFormat="1" applyFont="1" applyFill="1" applyBorder="1" applyAlignment="1">
      <alignment horizontal="center" vertical="center" wrapText="1"/>
    </xf>
    <xf numFmtId="164" fontId="12" fillId="27" borderId="0" xfId="0" applyNumberFormat="1" applyFont="1" applyFill="1" applyAlignment="1">
      <alignment horizontal="center" vertical="center" wrapText="1"/>
    </xf>
    <xf numFmtId="0" fontId="9" fillId="29" borderId="1" xfId="2" applyFill="1" applyBorder="1" applyAlignment="1">
      <alignment horizontal="center" vertical="center" wrapText="1"/>
    </xf>
    <xf numFmtId="0" fontId="22" fillId="51" borderId="1" xfId="0" applyFont="1" applyFill="1" applyBorder="1" applyAlignment="1">
      <alignment horizontal="center" vertical="center" wrapText="1"/>
    </xf>
    <xf numFmtId="0" fontId="9" fillId="29" borderId="10" xfId="1" applyFill="1" applyBorder="1" applyAlignment="1">
      <alignment horizontal="center" vertical="center" wrapText="1"/>
    </xf>
    <xf numFmtId="0" fontId="22" fillId="33" borderId="10" xfId="1" applyFont="1" applyFill="1" applyBorder="1" applyAlignment="1">
      <alignment horizontal="center" vertical="center" wrapText="1"/>
    </xf>
    <xf numFmtId="164" fontId="22" fillId="52" borderId="1" xfId="0" applyNumberFormat="1" applyFont="1" applyFill="1" applyBorder="1" applyAlignment="1">
      <alignment horizontal="center" vertical="center" wrapText="1"/>
    </xf>
    <xf numFmtId="0" fontId="12" fillId="27" borderId="12" xfId="1" applyFont="1" applyFill="1" applyBorder="1" applyAlignment="1">
      <alignment horizontal="center" vertical="center" wrapText="1"/>
    </xf>
    <xf numFmtId="0" fontId="12" fillId="32" borderId="12" xfId="0" quotePrefix="1" applyFont="1" applyFill="1" applyBorder="1" applyAlignment="1">
      <alignment horizontal="center" vertical="center" wrapText="1"/>
    </xf>
    <xf numFmtId="0" fontId="19" fillId="47" borderId="12" xfId="0" quotePrefix="1" applyFont="1" applyFill="1" applyBorder="1" applyAlignment="1">
      <alignment horizontal="center" vertical="center" wrapText="1"/>
    </xf>
    <xf numFmtId="0" fontId="12" fillId="18" borderId="7" xfId="0" quotePrefix="1" applyFont="1" applyFill="1" applyBorder="1" applyAlignment="1">
      <alignment horizontal="center" vertical="center" wrapText="1"/>
    </xf>
    <xf numFmtId="0" fontId="12" fillId="24" borderId="7" xfId="0" quotePrefix="1" applyFont="1" applyFill="1" applyBorder="1" applyAlignment="1">
      <alignment horizontal="center" vertical="center" wrapText="1"/>
    </xf>
    <xf numFmtId="0" fontId="19" fillId="43" borderId="10" xfId="0" applyFont="1" applyFill="1" applyBorder="1" applyAlignment="1">
      <alignment horizontal="center" vertical="center" wrapText="1"/>
    </xf>
    <xf numFmtId="0" fontId="12" fillId="27" borderId="15" xfId="0" quotePrefix="1" applyFont="1" applyFill="1" applyBorder="1" applyAlignment="1">
      <alignment horizontal="center" vertical="center" wrapText="1"/>
    </xf>
    <xf numFmtId="0" fontId="12" fillId="35" borderId="12" xfId="0" quotePrefix="1" applyFont="1" applyFill="1" applyBorder="1" applyAlignment="1">
      <alignment horizontal="center" vertical="center" wrapText="1"/>
    </xf>
    <xf numFmtId="0" fontId="12" fillId="24" borderId="10" xfId="0" applyFont="1" applyFill="1" applyBorder="1" applyAlignment="1">
      <alignment horizontal="center" vertical="center" wrapText="1"/>
    </xf>
    <xf numFmtId="0" fontId="12" fillId="27" borderId="10" xfId="0" applyFont="1" applyFill="1" applyBorder="1" applyAlignment="1">
      <alignment horizontal="left" vertical="center" wrapText="1"/>
    </xf>
    <xf numFmtId="0" fontId="19" fillId="44" borderId="10" xfId="0" applyFont="1" applyFill="1" applyBorder="1" applyAlignment="1">
      <alignment horizontal="center" vertical="center" wrapText="1"/>
    </xf>
    <xf numFmtId="0" fontId="12" fillId="20" borderId="15" xfId="0" quotePrefix="1" applyFont="1" applyFill="1" applyBorder="1" applyAlignment="1">
      <alignment horizontal="center" vertical="center" wrapText="1"/>
    </xf>
    <xf numFmtId="0" fontId="12" fillId="33" borderId="1" xfId="0" quotePrefix="1" applyFont="1" applyFill="1" applyBorder="1" applyAlignment="1">
      <alignment horizontal="center" vertical="center" wrapText="1"/>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1" fillId="5" borderId="2" xfId="0" applyFont="1" applyFill="1" applyBorder="1" applyAlignment="1">
      <alignment horizontal="center" vertical="top" wrapText="1"/>
    </xf>
    <xf numFmtId="0" fontId="1" fillId="5" borderId="3" xfId="0" applyFont="1" applyFill="1" applyBorder="1" applyAlignment="1">
      <alignment horizontal="center" vertical="top" wrapText="1"/>
    </xf>
    <xf numFmtId="0" fontId="1" fillId="5" borderId="4" xfId="0" applyFont="1" applyFill="1" applyBorder="1" applyAlignment="1">
      <alignment horizontal="center" vertical="top" wrapText="1"/>
    </xf>
    <xf numFmtId="0" fontId="1" fillId="5" borderId="5" xfId="0" applyFont="1" applyFill="1" applyBorder="1" applyAlignment="1">
      <alignment horizontal="center" vertical="top" wrapText="1"/>
    </xf>
    <xf numFmtId="0" fontId="1" fillId="5" borderId="0" xfId="0" applyFont="1" applyFill="1" applyAlignment="1">
      <alignment horizontal="center" vertical="top" wrapText="1"/>
    </xf>
    <xf numFmtId="0" fontId="1" fillId="5" borderId="6" xfId="0" applyFont="1" applyFill="1" applyBorder="1" applyAlignment="1">
      <alignment horizontal="center" vertical="top" wrapText="1"/>
    </xf>
    <xf numFmtId="0" fontId="1" fillId="5" borderId="7" xfId="0" applyFont="1" applyFill="1" applyBorder="1" applyAlignment="1">
      <alignment horizontal="center" vertical="top" wrapText="1"/>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2" fillId="3" borderId="0" xfId="0" applyFont="1" applyFill="1" applyAlignment="1">
      <alignment horizontal="center" vertical="center"/>
    </xf>
    <xf numFmtId="0" fontId="2" fillId="13" borderId="0" xfId="0" applyFont="1" applyFill="1" applyAlignment="1">
      <alignment horizontal="center" vertical="center"/>
    </xf>
    <xf numFmtId="0" fontId="2" fillId="8" borderId="0" xfId="0" applyFont="1" applyFill="1" applyAlignment="1">
      <alignment horizontal="center" vertical="center" wrapText="1"/>
    </xf>
  </cellXfs>
  <cellStyles count="3">
    <cellStyle name="Hyperlink" xfId="2" xr:uid="{00000000-000B-0000-0000-000008000000}"/>
    <cellStyle name="Lien hypertexte" xfId="1" builtinId="8"/>
    <cellStyle name="Normal" xfId="0" builtinId="0"/>
  </cellStyles>
  <dxfs count="288">
    <dxf>
      <font>
        <color rgb="FF9C0006"/>
      </font>
      <fill>
        <patternFill>
          <bgColor rgb="FFFFC7CE"/>
        </patternFill>
      </fill>
    </dxf>
    <dxf>
      <font>
        <b val="0"/>
        <i val="0"/>
        <strike val="0"/>
        <outline val="0"/>
        <shadow val="0"/>
        <u val="none"/>
        <vertAlign val="baseline"/>
        <sz val="11"/>
        <color auto="1"/>
        <name val="Calibri"/>
        <scheme val="minor"/>
      </font>
      <numFmt numFmtId="0" formatCode="General"/>
      <fill>
        <patternFill patternType="solid">
          <fgColor indexed="64"/>
          <bgColor theme="0"/>
        </patternFill>
      </fill>
      <alignment textRotation="0" wrapText="1" indent="0" justifyLastLine="0" shrinkToFit="0" readingOrder="0"/>
    </dxf>
    <dxf>
      <font>
        <b val="0"/>
        <i val="0"/>
        <strike val="0"/>
        <outline val="0"/>
        <shadow val="0"/>
        <u val="none"/>
        <vertAlign val="baseline"/>
        <sz val="11"/>
        <color auto="1"/>
        <name val="Calibri"/>
        <scheme val="minor"/>
      </font>
      <numFmt numFmtId="0" formatCode="General"/>
      <fill>
        <patternFill patternType="solid">
          <fgColor indexed="64"/>
          <bgColor theme="0"/>
        </patternFill>
      </fill>
      <alignment textRotation="0" wrapText="1" indent="0" justifyLastLine="0" shrinkToFit="0" readingOrder="0"/>
      <border outline="0">
        <left style="thin">
          <color indexed="64"/>
        </left>
      </border>
    </dxf>
    <dxf>
      <font>
        <b val="0"/>
        <i val="0"/>
        <strike val="0"/>
        <outline val="0"/>
        <shadow val="0"/>
        <u/>
        <vertAlign val="baseline"/>
        <sz val="11"/>
        <color theme="4"/>
        <name val="Calibri"/>
        <scheme val="minor"/>
      </font>
      <numFmt numFmtId="0" formatCode="General"/>
      <fill>
        <patternFill patternType="solid">
          <fgColor theme="0"/>
          <bgColor rgb="FFCCECFF"/>
        </patternFill>
      </fill>
      <alignment horizontal="center" vertical="center" textRotation="0" wrapText="1" indent="0" justifyLastLine="0" shrinkToFit="0" readingOrder="0"/>
      <border diagonalUp="0" diagonalDown="0" outline="0">
        <left/>
        <right/>
        <top style="thin">
          <color indexed="64"/>
        </top>
        <bottom style="thin">
          <color theme="4" tint="0.39997558519241921"/>
        </bottom>
      </border>
    </dxf>
    <dxf>
      <font>
        <b val="0"/>
        <i val="0"/>
        <strike val="0"/>
        <outline val="0"/>
        <shadow val="0"/>
        <vertAlign val="baseline"/>
        <sz val="11"/>
        <color auto="1"/>
        <name val="Calibri"/>
        <scheme val="minor"/>
      </font>
      <numFmt numFmtId="164" formatCode="0#&quot; &quot;##&quot; &quot;##&quot; &quot;##&quot; &quot;##"/>
      <fill>
        <patternFill patternType="solid">
          <fgColor indexed="64"/>
          <bgColor theme="0"/>
        </patternFill>
      </fill>
      <alignment textRotation="0" wrapText="1" indent="0" justifyLastLine="0" shrinkToFit="0" readingOrder="0"/>
      <border outline="0">
        <right style="thin">
          <color indexed="64"/>
        </right>
      </border>
    </dxf>
    <dxf>
      <font>
        <b val="0"/>
        <strike val="0"/>
        <outline val="0"/>
        <shadow val="0"/>
        <u/>
        <vertAlign val="baseline"/>
        <sz val="11"/>
        <color theme="4"/>
        <name val="Calibri"/>
        <scheme val="minor"/>
      </font>
      <numFmt numFmtId="0" formatCode="General"/>
      <fill>
        <patternFill patternType="solid">
          <fgColor indexed="64"/>
          <bgColor theme="0"/>
        </patternFill>
      </fill>
      <alignment textRotation="0" wrapText="1" indent="0" justifyLastLine="0" shrinkToFit="0" readingOrder="0"/>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style="thin">
          <color theme="4" tint="0.39997558519241921"/>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style="thin">
          <color theme="4" tint="0.39997558519241921"/>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style="thin">
          <color theme="4" tint="0.39997558519241921"/>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top style="thin">
          <color indexed="64"/>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solid">
          <fgColor theme="0"/>
          <bgColor theme="0"/>
        </patternFill>
      </fill>
      <alignment horizontal="center" vertical="center" textRotation="0" wrapText="0" indent="0" justifyLastLine="0" shrinkToFit="0" readingOrder="0"/>
      <border diagonalUp="0" diagonalDown="0" outline="0">
        <left style="thin">
          <color indexed="64"/>
        </left>
        <right/>
        <top style="thin">
          <color theme="4" tint="0.39997558519241921"/>
        </top>
        <bottom style="thin">
          <color theme="4" tint="0.39997558519241921"/>
        </bottom>
      </border>
    </dxf>
    <dxf>
      <fill>
        <patternFill patternType="solid">
          <fgColor indexed="64"/>
          <bgColor theme="0"/>
        </patternFill>
      </fill>
    </dxf>
    <dxf>
      <font>
        <b/>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rgb="FF000000"/>
          <bgColor rgb="FFFFFFFF"/>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ill>
        <patternFill>
          <fgColor rgb="FF000000"/>
          <bgColor rgb="FFFFFFFF"/>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rgb="FF000000"/>
          <bgColor rgb="FFFFFFFF"/>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fgColor rgb="FF000000"/>
          <bgColor rgb="FFFFFFFF"/>
        </patternFill>
      </fill>
      <alignment horizontal="left" vertical="center" textRotation="0" wrapText="0" indent="0" justifyLastLine="0" shrinkToFit="0" readingOrder="0"/>
    </dxf>
    <dxf>
      <border>
        <bottom style="thin">
          <color rgb="FF000000"/>
        </bottom>
      </border>
    </dxf>
    <dxf>
      <fill>
        <patternFill>
          <fgColor indexed="64"/>
          <bgColor theme="0"/>
        </patternFill>
      </fill>
      <border diagonalUp="0" diagonalDown="0">
        <left style="thin">
          <color indexed="64"/>
        </left>
        <right style="thin">
          <color indexed="64"/>
        </right>
        <top/>
        <bottom/>
        <vertical style="thin">
          <color indexed="64"/>
        </vertical>
        <horizontal style="thin">
          <color indexed="64"/>
        </horizontal>
      </border>
    </dxf>
    <dxf>
      <fill>
        <patternFill>
          <fgColor rgb="FF000000"/>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fgColor rgb="FF000000"/>
          <bgColor rgb="FFFFFF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rgb="FF000000"/>
          <bgColor rgb="FFFFFF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fgColor rgb="FF000000"/>
          <bgColor rgb="FFFFFFFF"/>
        </patternFill>
      </fill>
      <alignment horizontal="left" vertical="center" textRotation="0" wrapText="1" indent="0" justifyLastLine="0" shrinkToFit="0" readingOrder="0"/>
    </dxf>
    <dxf>
      <border>
        <bottom style="thin">
          <color rgb="FF000000"/>
        </bottom>
      </border>
    </dxf>
    <dxf>
      <fill>
        <patternFill>
          <fgColor indexed="64"/>
          <bgColor theme="0"/>
        </patternFill>
      </fill>
      <border diagonalUp="0" diagonalDown="0">
        <left style="thin">
          <color indexed="64"/>
        </left>
        <right style="thin">
          <color indexed="64"/>
        </right>
        <top/>
        <bottom/>
        <vertical style="thin">
          <color indexed="64"/>
        </vertical>
        <horizontal style="thin">
          <color indexed="64"/>
        </horizontal>
      </border>
    </dxf>
    <dxf>
      <fill>
        <patternFill>
          <fgColor rgb="FF000000"/>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fgColor rgb="FF000000"/>
          <bgColor rgb="FFFFFF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rgb="FF000000"/>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fgColor rgb="FF000000"/>
          <bgColor rgb="FFFFFFFF"/>
        </patternFill>
      </fill>
      <alignment horizontal="left" vertical="center" textRotation="0" wrapText="1" indent="0" justifyLastLine="0" shrinkToFit="0" readingOrder="0"/>
    </dxf>
    <dxf>
      <border>
        <bottom style="thin">
          <color rgb="FF000000"/>
        </bottom>
      </border>
    </dxf>
    <dxf>
      <fill>
        <patternFill>
          <fgColor indexed="64"/>
          <bgColor theme="0"/>
        </patternFill>
      </fill>
      <border diagonalUp="0" diagonalDown="0">
        <left style="thin">
          <color indexed="64"/>
        </left>
        <right style="thin">
          <color indexed="64"/>
        </right>
        <top/>
        <bottom/>
        <vertical style="thin">
          <color indexed="64"/>
        </vertical>
        <horizontal style="thin">
          <color indexed="64"/>
        </horizontal>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dxf>
    <dxf>
      <border>
        <bottom style="thin">
          <color indexed="64"/>
        </bottom>
      </border>
    </dxf>
    <dxf>
      <fill>
        <patternFill>
          <fgColor indexed="64"/>
          <bgColor theme="0"/>
        </patternFill>
      </fill>
      <border diagonalUp="0" diagonalDown="0">
        <left style="thin">
          <color indexed="64"/>
        </left>
        <right style="thin">
          <color indexed="64"/>
        </right>
        <top/>
        <bottom/>
        <vertical style="thin">
          <color indexed="64"/>
        </vertical>
        <horizontal style="thin">
          <color indexed="64"/>
        </horizontal>
      </border>
    </dxf>
    <dxf>
      <fill>
        <patternFill>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theme="0"/>
        </patternFill>
      </fill>
      <alignment horizontal="left" vertical="center" textRotation="0" wrapText="1" indent="0" justifyLastLine="0" shrinkToFit="0" readingOrder="0"/>
    </dxf>
    <dxf>
      <border>
        <bottom style="thin">
          <color indexed="64"/>
        </bottom>
      </border>
    </dxf>
    <dxf>
      <font>
        <b/>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1"/>
        <color auto="1"/>
        <name val="Calibri"/>
        <scheme val="minor"/>
      </font>
      <numFmt numFmtId="0" formatCode="General"/>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theme="0"/>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outline val="0"/>
        <shadow val="0"/>
        <u/>
        <vertAlign val="baseline"/>
        <sz val="11"/>
        <color theme="4"/>
        <name val="Calibri"/>
        <scheme val="minor"/>
      </font>
      <numFmt numFmtId="0" formatCode="General"/>
      <fill>
        <patternFill>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color auto="1"/>
        <name val="Calibri"/>
        <scheme val="minor"/>
      </font>
      <numFmt numFmtId="164" formatCode="0#&quot; &quot;##&quot; &quot;##&quot; &quot;##&quot; &quot;##"/>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outline val="0"/>
        <shadow val="0"/>
        <u/>
        <vertAlign val="baseline"/>
        <sz val="11"/>
        <color theme="4"/>
        <name val="Calibri"/>
        <scheme val="minor"/>
      </font>
      <numFmt numFmtId="0" formatCode="General"/>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0" formatCode="General"/>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ttom style="thin">
          <color indexed="64"/>
        </bottom>
      </border>
    </dxf>
    <dxf>
      <fill>
        <patternFill patternType="solid">
          <fgColor theme="0"/>
          <bgColor theme="0"/>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rgb="FFE4F0DC"/>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1"/>
        <color auto="1"/>
        <name val="Calibri"/>
        <scheme val="minor"/>
      </font>
      <numFmt numFmtId="0" formatCode="General"/>
      <alignment horizontal="center" vertical="center" textRotation="0" wrapText="1" indent="0" justifyLastLine="0" shrinkToFit="0" readingOrder="0"/>
    </dxf>
    <dxf>
      <font>
        <b val="0"/>
        <strike val="0"/>
        <outline val="0"/>
        <shadow val="0"/>
        <u val="none"/>
        <vertAlign val="baseline"/>
        <sz val="11"/>
        <color auto="1"/>
        <name val="Calibri"/>
        <scheme val="minor"/>
      </font>
      <numFmt numFmtId="0" formatCode="General"/>
      <alignment horizontal="center" vertical="center" textRotation="0" wrapText="1" indent="0" justifyLastLine="0" shrinkToFit="0" readingOrder="0"/>
      <border outline="0">
        <left style="thin">
          <color indexed="64"/>
        </left>
        <right style="thin">
          <color indexed="64"/>
        </right>
      </border>
    </dxf>
    <dxf>
      <font>
        <b val="0"/>
        <i val="0"/>
        <strike val="0"/>
        <outline val="0"/>
        <shadow val="0"/>
        <u/>
        <vertAlign val="baseline"/>
        <sz val="11"/>
        <color theme="4"/>
        <name val="Calibri"/>
        <scheme val="minor"/>
      </font>
      <numFmt numFmtId="0" formatCode="General"/>
      <border outline="0">
        <right style="thin">
          <color indexed="64"/>
        </right>
      </border>
    </dxf>
    <dxf>
      <font>
        <b val="0"/>
        <strike val="0"/>
        <outline val="0"/>
        <shadow val="0"/>
        <u val="none"/>
        <vertAlign val="baseline"/>
        <sz val="11"/>
        <color auto="1"/>
        <name val="Calibri"/>
        <scheme val="minor"/>
      </font>
      <numFmt numFmtId="0" formatCode="General"/>
      <border outline="0">
        <left style="thin">
          <color indexed="64"/>
        </left>
        <right style="thin">
          <color indexed="64"/>
        </right>
      </border>
    </dxf>
    <dxf>
      <font>
        <b val="0"/>
        <i val="0"/>
        <strike val="0"/>
        <outline val="0"/>
        <shadow val="0"/>
        <u/>
        <vertAlign val="baseline"/>
        <sz val="11"/>
        <color theme="4"/>
        <name val="Calibri"/>
        <scheme val="minor"/>
      </font>
      <numFmt numFmtId="0" formatCode="General"/>
    </dxf>
    <dxf>
      <numFmt numFmtId="0" formatCode="General"/>
      <border outline="0">
        <right style="thin">
          <color indexed="64"/>
        </right>
      </border>
    </dxf>
    <dxf>
      <numFmt numFmtId="0" formatCode="General"/>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1"/>
        <color auto="1"/>
        <name val="Calibri"/>
        <scheme val="minor"/>
      </font>
      <fill>
        <patternFill patternType="solid">
          <fgColor theme="0"/>
          <bgColor theme="0"/>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dxf>
    <dxf>
      <numFmt numFmtId="0" formatCode="General"/>
      <border outline="0">
        <left style="thin">
          <color indexed="64"/>
        </left>
      </border>
    </dxf>
    <dxf>
      <font>
        <b val="0"/>
        <i val="0"/>
        <strike val="0"/>
        <outline val="0"/>
        <shadow val="0"/>
        <u/>
        <vertAlign val="baseline"/>
        <sz val="11"/>
        <color theme="4"/>
        <name val="Calibri"/>
        <scheme val="minor"/>
      </font>
      <numFmt numFmtId="0" formatCode="General"/>
      <fill>
        <patternFill patternType="solid">
          <fgColor theme="0"/>
          <bgColor rgb="FFCCEC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numFmt numFmtId="164" formatCode="0#&quot; &quot;##&quot; &quot;##&quot; &quot;##&quot; &quot;##"/>
      <border outline="0">
        <right style="thin">
          <color indexed="64"/>
        </right>
      </border>
    </dxf>
    <dxf>
      <font>
        <b val="0"/>
        <i val="0"/>
        <strike val="0"/>
        <outline val="0"/>
        <shadow val="0"/>
        <u/>
        <vertAlign val="baseline"/>
        <sz val="11"/>
        <color theme="4"/>
        <name val="Calibri"/>
        <scheme val="minor"/>
      </font>
      <numFmt numFmtId="0" formatCode="General"/>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right/>
        <top style="thin">
          <color indexed="64"/>
        </top>
        <bottom/>
      </border>
    </dxf>
    <dxf>
      <font>
        <b val="0"/>
        <i val="0"/>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Calibri"/>
        <scheme val="minor"/>
      </font>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fill>
        <patternFill patternType="lightUp">
          <fgColor theme="0"/>
          <bgColor theme="0" tint="-0.1499679555650502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outline val="0"/>
        <shadow val="0"/>
        <u/>
        <vertAlign val="baseline"/>
        <sz val="11"/>
        <color theme="4"/>
        <name val="Calibri"/>
        <scheme val="minor"/>
      </font>
      <numFmt numFmtId="0" formatCode="General"/>
      <fill>
        <patternFill patternType="lightUp">
          <fgColor theme="0"/>
          <bgColor theme="0" tint="-0.14996795556505021"/>
        </patternFill>
      </fill>
      <alignment horizontal="center" vertical="center" textRotation="0" wrapText="1" indent="0" justifyLastLine="0" shrinkToFit="0" readingOrder="0"/>
      <border diagonalUp="0" diagonalDown="0" outline="0">
        <left/>
        <right/>
        <top style="thin">
          <color indexed="64"/>
        </top>
        <bottom/>
      </border>
    </dxf>
    <dxf>
      <font>
        <b val="0"/>
        <i val="0"/>
        <strike val="0"/>
        <outline val="0"/>
        <shadow val="0"/>
        <u val="none"/>
        <vertAlign val="baseline"/>
        <sz val="11"/>
        <color auto="1"/>
        <name val="Calibri"/>
        <scheme val="minor"/>
      </font>
      <numFmt numFmtId="164" formatCode="0#&quot; &quot;##&quot; &quot;##&quot; &quot;##&quot; &quot;##"/>
      <border outline="0">
        <right style="thin">
          <color indexed="64"/>
        </right>
      </border>
    </dxf>
    <dxf>
      <font>
        <b val="0"/>
        <i val="0"/>
        <strike val="0"/>
        <outline val="0"/>
        <shadow val="0"/>
        <vertAlign val="baseline"/>
        <sz val="11"/>
        <color theme="4"/>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top/>
        <bottom/>
      </border>
    </dxf>
    <dxf>
      <border outline="0">
        <right style="thin">
          <color indexed="64"/>
        </right>
      </border>
    </dxf>
    <dxf>
      <font>
        <b/>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ertAlign val="baseline"/>
        <sz val="11"/>
        <color theme="4"/>
        <name val="Calibri"/>
        <scheme val="minor"/>
      </font>
      <numFmt numFmtId="0" formatCode="General"/>
    </dxf>
    <dxf>
      <font>
        <b val="0"/>
        <i val="0"/>
        <strike val="0"/>
        <outline val="0"/>
        <shadow val="0"/>
        <u val="none"/>
        <vertAlign val="baseline"/>
        <sz val="11"/>
        <color auto="1"/>
        <name val="Calibri"/>
        <scheme val="minor"/>
      </font>
      <numFmt numFmtId="164" formatCode="0#&quot; &quot;##&quot; &quot;##&quot; &quot;##&quot; &quot;##"/>
      <border outline="0">
        <left style="thin">
          <color indexed="64"/>
        </left>
        <right/>
      </border>
    </dxf>
    <dxf>
      <font>
        <b val="0"/>
        <i val="0"/>
        <strike val="0"/>
        <outline val="0"/>
        <shadow val="0"/>
        <u/>
        <vertAlign val="baseline"/>
        <sz val="11"/>
        <color theme="4"/>
        <name val="Calibri"/>
        <scheme val="minor"/>
      </font>
      <numFmt numFmtId="0" formatCode="General"/>
    </dxf>
    <dxf>
      <font>
        <b val="0"/>
        <i val="0"/>
        <strike val="0"/>
        <outline val="0"/>
        <shadow val="0"/>
        <u val="none"/>
        <vertAlign val="baseline"/>
        <sz val="11"/>
        <color auto="1"/>
        <name val="Calibri"/>
        <scheme val="minor"/>
      </font>
      <numFmt numFmtId="0" formatCode="General"/>
      <border outline="0">
        <right style="thin">
          <color indexed="64"/>
        </right>
      </border>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fill>
        <patternFill patternType="none">
          <fgColor theme="0"/>
          <bgColor auto="1"/>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border>
    </dxf>
    <dxf>
      <numFmt numFmtId="0" formatCode="General"/>
      <fill>
        <patternFill patternType="none">
          <fgColor theme="0"/>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0" formatCode="General"/>
      <fill>
        <patternFill patternType="none">
          <fgColor theme="0"/>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outline val="0"/>
        <shadow val="0"/>
        <u val="none"/>
        <vertAlign val="baseline"/>
        <sz val="11"/>
        <color auto="1"/>
        <name val="Calibri"/>
        <scheme val="minor"/>
      </font>
      <numFmt numFmtId="164" formatCode="0#&quot; &quot;##&quot; &quot;##&quot; &quot;##&quot; &quot;##"/>
      <fill>
        <patternFill patternType="none">
          <fgColor theme="0"/>
          <bgColor auto="1"/>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outline val="0"/>
        <shadow val="0"/>
        <u/>
        <vertAlign val="baseline"/>
        <sz val="11"/>
        <color theme="4"/>
        <name val="Calibri"/>
        <scheme val="minor"/>
      </font>
      <numFmt numFmtId="0" formatCode="General"/>
      <fill>
        <patternFill patternType="none">
          <fgColor theme="0"/>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border outline="0">
        <left style="thin">
          <color indexed="64"/>
        </left>
        <right/>
      </border>
    </dxf>
    <dxf>
      <font>
        <b val="0"/>
        <i val="0"/>
        <strike val="0"/>
        <outline val="0"/>
        <shadow val="0"/>
        <u/>
        <vertAlign val="baseline"/>
        <sz val="11"/>
        <color theme="4"/>
        <name val="Calibri"/>
        <scheme val="minor"/>
      </font>
      <numFmt numFmtId="0" formatCode="General"/>
    </dxf>
    <dxf>
      <font>
        <b val="0"/>
        <i val="0"/>
        <strike val="0"/>
        <outline val="0"/>
        <shadow val="0"/>
        <u val="none"/>
        <vertAlign val="baseline"/>
        <sz val="11"/>
        <color auto="1"/>
      </font>
      <numFmt numFmtId="0" formatCode="General"/>
      <alignment horizontal="center" vertical="center" textRotation="0" indent="0" justifyLastLine="0" shrinkToFit="0" readingOrder="0"/>
      <border outline="0">
        <left style="thin">
          <color indexed="64"/>
        </left>
        <right style="thin">
          <color indexed="64"/>
        </right>
      </border>
    </dxf>
    <dxf>
      <font>
        <b val="0"/>
        <i val="0"/>
        <strike val="0"/>
        <outline val="0"/>
        <shadow val="0"/>
        <u/>
        <vertAlign val="baseline"/>
        <sz val="11"/>
        <color theme="4"/>
        <name val="Calibri"/>
        <scheme val="minor"/>
      </font>
      <numFmt numFmtId="0" formatCode="General"/>
    </dxf>
    <dxf>
      <font>
        <b val="0"/>
        <i val="0"/>
        <strike val="0"/>
        <outline val="0"/>
        <shadow val="0"/>
        <u val="none"/>
        <vertAlign val="baseline"/>
        <sz val="11"/>
        <color auto="1"/>
        <name val="Calibri"/>
        <scheme val="minor"/>
      </font>
      <numFmt numFmtId="0" formatCode="General"/>
      <border outline="0">
        <right style="thin">
          <color indexed="64"/>
        </right>
      </border>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outline val="0"/>
        <shadow val="0"/>
        <u val="none"/>
        <vertAlign val="baseline"/>
        <sz val="11"/>
        <color auto="1"/>
        <name val="Calibri"/>
        <scheme val="minor"/>
      </font>
      <numFmt numFmtId="0" formatCode="General"/>
    </dxf>
    <dxf>
      <font>
        <b val="0"/>
        <i val="0"/>
        <strike val="0"/>
        <condense val="0"/>
        <extend val="0"/>
        <outline val="0"/>
        <shadow val="0"/>
        <u val="none"/>
        <vertAlign val="baseline"/>
        <sz val="11"/>
        <color auto="1"/>
        <name val="Calibri"/>
        <scheme val="minor"/>
      </font>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dxf>
    <dxf>
      <numFmt numFmtId="0" formatCode="General"/>
      <fill>
        <patternFill patternType="lightUp">
          <fgColor theme="0"/>
          <bgColor theme="0" tint="-0.14996795556505021"/>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outline val="0"/>
        <shadow val="0"/>
        <u/>
        <vertAlign val="baseline"/>
        <sz val="11"/>
        <color theme="4"/>
        <name val="Calibri"/>
        <scheme val="minor"/>
      </font>
      <numFmt numFmtId="0" formatCode="General"/>
      <alignment vertical="center" textRotation="0" wrapText="1" indent="0" justifyLastLine="0" shrinkToFit="0" readingOrder="0"/>
    </dxf>
    <dxf>
      <numFmt numFmtId="164" formatCode="0#&quot; &quot;##&quot; &quot;##&quot; &quot;##&quot; &quot;##"/>
      <fill>
        <patternFill patternType="solid">
          <fgColor theme="0"/>
          <bgColor rgb="FFCCECFF"/>
        </patternFill>
      </fill>
      <alignment horizontal="center" vertical="center" textRotation="0" wrapText="1" indent="0" justifyLastLine="0" shrinkToFit="0" readingOrder="0"/>
      <border diagonalUp="0" diagonalDown="0" outline="0">
        <left style="thin">
          <color indexed="64"/>
        </left>
        <right/>
        <top style="thin">
          <color indexed="64"/>
        </top>
        <bottom/>
      </border>
    </dxf>
    <dxf>
      <numFmt numFmtId="0" formatCode="General"/>
      <fill>
        <patternFill patternType="solid">
          <fgColor theme="0"/>
          <bgColor rgb="FFCCEC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0" formatCode="General"/>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ertAlign val="baseline"/>
        <sz val="11"/>
        <color theme="4"/>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1"/>
        <color auto="1"/>
        <name val="Calibri"/>
        <scheme val="minor"/>
      </font>
      <numFmt numFmtId="164" formatCode="0#&quot; &quot;##&quot; &quot;##&quot; &quot;##&quot; &quo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outline val="0"/>
        <shadow val="0"/>
        <u/>
        <vertAlign val="baseline"/>
        <sz val="11"/>
        <color theme="4"/>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solid">
          <fgColor theme="0"/>
          <bgColor theme="0"/>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outline val="0"/>
        <shadow val="0"/>
        <u val="none"/>
        <vertAlign val="baseline"/>
        <color auto="1"/>
        <name val="Calibri"/>
      </font>
      <fill>
        <patternFill patternType="solid">
          <fgColor theme="0"/>
          <bgColor theme="0"/>
        </patternFill>
      </fill>
      <alignment horizontal="center" vertical="center" textRotation="0" wrapText="1" indent="0" justifyLastLine="0" shrinkToFit="0" readingOrder="0"/>
      <border diagonalUp="0" diagonalDown="0" outline="0">
        <left/>
        <right style="thin">
          <color indexed="64"/>
        </right>
        <top/>
        <bottom style="thin">
          <color indexed="64"/>
        </bottom>
      </border>
    </dxf>
    <dxf>
      <font>
        <b val="0"/>
        <i val="0"/>
        <strike val="0"/>
        <outline val="0"/>
        <shadow val="0"/>
        <vertAlign val="baseline"/>
        <color auto="1"/>
        <name val="Calibri"/>
      </font>
      <fill>
        <patternFill patternType="solid">
          <fgColor theme="0"/>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ill>
        <patternFill patternType="solid">
          <fgColor theme="0"/>
          <bgColor theme="0"/>
        </patternFill>
      </fill>
      <alignment horizontal="center" vertical="center" textRotation="0" wrapText="1" indent="0" justifyLastLine="0" shrinkToFit="0" readingOrder="0"/>
      <border diagonalUp="0" diagonalDown="0" outline="0">
        <left/>
        <right/>
        <top style="thin">
          <color indexed="64"/>
        </top>
        <bottom/>
      </border>
    </dxf>
    <dxf>
      <font>
        <b val="0"/>
        <i val="0"/>
        <strike val="0"/>
        <outline val="0"/>
        <shadow val="0"/>
        <vertAlign val="baseline"/>
        <color auto="1"/>
      </font>
      <fill>
        <patternFill patternType="solid">
          <fgColor theme="0"/>
          <bgColor theme="0"/>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outline val="0"/>
        <shadow val="0"/>
        <u/>
        <vertAlign val="baseline"/>
        <sz val="11"/>
        <color theme="4"/>
        <name val="Calibri"/>
      </font>
      <fill>
        <patternFill patternType="solid">
          <fgColor theme="0"/>
          <bgColor theme="0"/>
        </patternFill>
      </fill>
      <alignment horizontal="center" vertical="center" textRotation="0" wrapText="1" indent="0" justifyLastLine="0" shrinkToFit="0" readingOrder="0"/>
      <border diagonalUp="0" diagonalDown="0" outline="0">
        <left/>
        <right/>
        <top style="thin">
          <color indexed="64"/>
        </top>
        <bottom/>
      </border>
    </dxf>
    <dxf>
      <font>
        <b val="0"/>
        <i val="0"/>
        <outline val="0"/>
        <shadow val="0"/>
        <u val="none"/>
        <vertAlign val="baseline"/>
        <color auto="1"/>
        <name val="Calibri"/>
      </font>
      <fill>
        <patternFill patternType="solid">
          <fgColor theme="0"/>
          <bgColor theme="0"/>
        </patternFill>
      </fill>
      <alignment horizontal="center" vertical="center" textRotation="0" wrapText="1" indent="0" justifyLastLine="0" shrinkToFit="0" readingOrder="0"/>
      <border diagonalUp="0" diagonalDown="0" outline="0">
        <left/>
        <right/>
        <top style="thin">
          <color indexed="64"/>
        </top>
        <bottom/>
      </border>
    </dxf>
    <dxf>
      <font>
        <b val="0"/>
        <i val="0"/>
        <outline val="0"/>
        <shadow val="0"/>
        <u val="none"/>
        <vertAlign val="baseline"/>
        <color auto="1"/>
        <name val="Calibri"/>
      </font>
      <fill>
        <patternFill patternType="solid">
          <fgColor theme="0"/>
          <bgColor theme="0"/>
        </patternFill>
      </fill>
      <alignment horizontal="center" vertical="center" textRotation="0" wrapText="1" indent="0" justifyLastLine="0" shrinkToFit="0" readingOrder="0"/>
      <border diagonalUp="0" diagonalDown="0" outline="0">
        <left/>
        <right/>
        <top style="thin">
          <color indexed="64"/>
        </top>
        <bottom/>
      </border>
    </dxf>
    <dxf>
      <font>
        <b val="0"/>
        <i val="0"/>
        <outline val="0"/>
        <shadow val="0"/>
        <u val="none"/>
        <vertAlign val="baseline"/>
        <color auto="1"/>
        <name val="Calibri"/>
      </font>
      <fill>
        <patternFill patternType="solid">
          <fgColor theme="0"/>
          <bgColor theme="0"/>
        </patternFill>
      </fill>
      <alignment horizontal="center" vertical="center" textRotation="0" wrapText="1" indent="0" justifyLastLine="0" shrinkToFit="0" readingOrder="0"/>
      <border diagonalUp="0" diagonalDown="0" outline="0">
        <left/>
        <right/>
        <top style="thin">
          <color indexed="64"/>
        </top>
        <bottom/>
      </border>
    </dxf>
    <dxf>
      <font>
        <b val="0"/>
        <i val="0"/>
        <outline val="0"/>
        <shadow val="0"/>
        <u val="none"/>
        <vertAlign val="baseline"/>
        <color auto="1"/>
        <name val="Calibri"/>
      </font>
      <fill>
        <patternFill patternType="solid">
          <fgColor theme="0"/>
          <bgColor theme="0"/>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outline val="0"/>
        <shadow val="0"/>
        <u val="none"/>
        <vertAlign val="baseline"/>
        <color auto="1"/>
        <name val="Calibri"/>
      </font>
      <fill>
        <patternFill patternType="solid">
          <fgColor theme="0"/>
          <bgColor theme="0"/>
        </patternFill>
      </fill>
      <alignment horizontal="center" vertical="center" textRotation="0" wrapText="1" indent="0" justifyLastLine="0" shrinkToFit="0" readingOrder="0"/>
      <border diagonalUp="0" diagonalDown="0" outline="0">
        <left/>
        <right/>
        <top style="thin">
          <color indexed="64"/>
        </top>
        <bottom/>
      </border>
    </dxf>
    <dxf>
      <font>
        <b val="0"/>
        <i val="0"/>
        <outline val="0"/>
        <shadow val="0"/>
        <u val="none"/>
        <vertAlign val="baseline"/>
        <color auto="1"/>
        <name val="Calibri"/>
      </font>
      <fill>
        <patternFill patternType="solid">
          <fgColor theme="0"/>
          <bgColor theme="0"/>
        </patternFill>
      </fill>
      <alignment horizontal="center" vertical="center" textRotation="0" wrapText="1" indent="0" justifyLastLine="0" shrinkToFit="0" readingOrder="0"/>
      <border diagonalUp="0" diagonalDown="0" outline="0">
        <left/>
        <right/>
        <top style="thin">
          <color indexed="64"/>
        </top>
        <bottom/>
      </border>
    </dxf>
    <dxf>
      <font>
        <b val="0"/>
        <i val="0"/>
        <outline val="0"/>
        <shadow val="0"/>
        <u val="none"/>
        <vertAlign val="baseline"/>
        <color auto="1"/>
        <name val="Calibri"/>
      </font>
      <fill>
        <patternFill patternType="solid">
          <fgColor theme="0"/>
          <bgColor theme="0"/>
        </patternFill>
      </fill>
      <alignment horizontal="center" vertical="center" textRotation="0" wrapText="1" indent="0" justifyLastLine="0" shrinkToFit="0" readingOrder="0"/>
      <border diagonalUp="0" diagonalDown="0" outline="0">
        <left/>
        <right/>
        <top style="thin">
          <color indexed="64"/>
        </top>
        <bottom/>
      </border>
    </dxf>
    <dxf>
      <font>
        <b val="0"/>
      </font>
      <fill>
        <patternFill patternType="solid">
          <fgColor theme="0"/>
          <bgColor theme="0"/>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theme="0"/>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CECFF"/>
      <color rgb="FF77E3D6"/>
      <color rgb="FFE4D2F2"/>
      <color rgb="FFFFCCCC"/>
      <color rgb="FFFFFFD1"/>
      <color rgb="FFE3E7ED"/>
      <color rgb="FFA5CA3E"/>
      <color rgb="FFFDF0E9"/>
      <color rgb="FFF7B3EA"/>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Acc&#232;s via professionnels '!A1"/><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hyperlink" Target="#sommaire"/><Relationship Id="rId4" Type="http://schemas.openxmlformats.org/officeDocument/2006/relationships/hyperlink" Target="#'Acces direct'!A1"/></Relationships>
</file>

<file path=xl/drawings/_rels/drawing10.xml.rels><?xml version="1.0" encoding="UTF-8" standalone="yes"?>
<Relationships xmlns="http://schemas.openxmlformats.org/package/2006/relationships"><Relationship Id="rId8" Type="http://schemas.openxmlformats.org/officeDocument/2006/relationships/hyperlink" Target="#'Sa&#244;ne-et-Loire (71)'!A1"/><Relationship Id="rId3" Type="http://schemas.openxmlformats.org/officeDocument/2006/relationships/hyperlink" Target="#'Jura (39)'!A1"/><Relationship Id="rId7" Type="http://schemas.openxmlformats.org/officeDocument/2006/relationships/hyperlink" Target="#'Cotes d''Or (21)'!A1"/><Relationship Id="rId2" Type="http://schemas.openxmlformats.org/officeDocument/2006/relationships/hyperlink" Target="#'Secteur sanitaire'!A1"/><Relationship Id="rId1" Type="http://schemas.openxmlformats.org/officeDocument/2006/relationships/hyperlink" Target="#sommaire"/><Relationship Id="rId6" Type="http://schemas.openxmlformats.org/officeDocument/2006/relationships/hyperlink" Target="#'Haute-Sa&#244;ne (70)'!A1"/><Relationship Id="rId11" Type="http://schemas.openxmlformats.org/officeDocument/2006/relationships/hyperlink" Target="#'Nord-Franche-Comt&#233;'!A1"/><Relationship Id="rId5" Type="http://schemas.openxmlformats.org/officeDocument/2006/relationships/hyperlink" Target="#'Doubs (25)'!A1"/><Relationship Id="rId10" Type="http://schemas.openxmlformats.org/officeDocument/2006/relationships/hyperlink" Target="#'Territoire de Belfort (90)'!A1"/><Relationship Id="rId4" Type="http://schemas.openxmlformats.org/officeDocument/2006/relationships/hyperlink" Target="#'Nievre (58)'!A1"/><Relationship Id="rId9" Type="http://schemas.openxmlformats.org/officeDocument/2006/relationships/hyperlink" Target="#'Yonne (89)'!A1"/></Relationships>
</file>

<file path=xl/drawings/_rels/drawing11.xml.rels><?xml version="1.0" encoding="UTF-8" standalone="yes"?>
<Relationships xmlns="http://schemas.openxmlformats.org/package/2006/relationships"><Relationship Id="rId8" Type="http://schemas.openxmlformats.org/officeDocument/2006/relationships/hyperlink" Target="#'Yonne (89)'!A1"/><Relationship Id="rId3" Type="http://schemas.openxmlformats.org/officeDocument/2006/relationships/hyperlink" Target="#'Nievre (58)'!A1"/><Relationship Id="rId7" Type="http://schemas.openxmlformats.org/officeDocument/2006/relationships/hyperlink" Target="#'Sa&#244;ne-et-Loire (71)'!A1"/><Relationship Id="rId2" Type="http://schemas.openxmlformats.org/officeDocument/2006/relationships/hyperlink" Target="#'Jura (39)'!A1"/><Relationship Id="rId1" Type="http://schemas.openxmlformats.org/officeDocument/2006/relationships/hyperlink" Target="#sommaire"/><Relationship Id="rId6" Type="http://schemas.openxmlformats.org/officeDocument/2006/relationships/hyperlink" Target="#'Cotes d''Or (21)'!A1"/><Relationship Id="rId5" Type="http://schemas.openxmlformats.org/officeDocument/2006/relationships/hyperlink" Target="#'Haute-Sa&#244;ne (70)'!A1"/><Relationship Id="rId10" Type="http://schemas.openxmlformats.org/officeDocument/2006/relationships/hyperlink" Target="#'Nord-Franche-Comt&#233;'!A1"/><Relationship Id="rId4" Type="http://schemas.openxmlformats.org/officeDocument/2006/relationships/hyperlink" Target="#'Doubs (25)'!A1"/><Relationship Id="rId9" Type="http://schemas.openxmlformats.org/officeDocument/2006/relationships/hyperlink" Target="#'Territoire de Belfort (90)'!A1"/></Relationships>
</file>

<file path=xl/drawings/_rels/drawing12.xml.rels><?xml version="1.0" encoding="UTF-8" standalone="yes"?>
<Relationships xmlns="http://schemas.openxmlformats.org/package/2006/relationships"><Relationship Id="rId2" Type="http://schemas.openxmlformats.org/officeDocument/2006/relationships/hyperlink" Target="#'Acces direct'!A1"/><Relationship Id="rId1" Type="http://schemas.openxmlformats.org/officeDocument/2006/relationships/hyperlink" Target="#sommaire"/></Relationships>
</file>

<file path=xl/drawings/_rels/drawing2.xml.rels><?xml version="1.0" encoding="UTF-8" standalone="yes"?>
<Relationships xmlns="http://schemas.openxmlformats.org/package/2006/relationships"><Relationship Id="rId8" Type="http://schemas.openxmlformats.org/officeDocument/2006/relationships/hyperlink" Target="#'Sa&#244;ne-et-Loire (71)'!A1"/><Relationship Id="rId3" Type="http://schemas.openxmlformats.org/officeDocument/2006/relationships/hyperlink" Target="#'Jura (39)'!A1"/><Relationship Id="rId7" Type="http://schemas.openxmlformats.org/officeDocument/2006/relationships/hyperlink" Target="#'Cotes d''Or (21)'!A1"/><Relationship Id="rId2" Type="http://schemas.openxmlformats.org/officeDocument/2006/relationships/hyperlink" Target="#'Secteur sanitaire'!A1"/><Relationship Id="rId1" Type="http://schemas.openxmlformats.org/officeDocument/2006/relationships/hyperlink" Target="#sommaire"/><Relationship Id="rId6" Type="http://schemas.openxmlformats.org/officeDocument/2006/relationships/hyperlink" Target="#'Haute-Sa&#244;ne (70)'!A1"/><Relationship Id="rId11" Type="http://schemas.openxmlformats.org/officeDocument/2006/relationships/hyperlink" Target="#'Nord-Franche-Comt&#233;'!A1"/><Relationship Id="rId5" Type="http://schemas.openxmlformats.org/officeDocument/2006/relationships/hyperlink" Target="#'Doubs (25)'!A1"/><Relationship Id="rId10" Type="http://schemas.openxmlformats.org/officeDocument/2006/relationships/hyperlink" Target="#'Territoire de Belfort (90)'!A1"/><Relationship Id="rId4" Type="http://schemas.openxmlformats.org/officeDocument/2006/relationships/hyperlink" Target="#'Nievre (58)'!A1"/><Relationship Id="rId9" Type="http://schemas.openxmlformats.org/officeDocument/2006/relationships/hyperlink" Target="#'Yonne (89)'!A1"/></Relationships>
</file>

<file path=xl/drawings/_rels/drawing3.xml.rels><?xml version="1.0" encoding="UTF-8" standalone="yes"?>
<Relationships xmlns="http://schemas.openxmlformats.org/package/2006/relationships"><Relationship Id="rId8" Type="http://schemas.openxmlformats.org/officeDocument/2006/relationships/hyperlink" Target="#'Sa&#244;ne-et-Loire (71)'!A1"/><Relationship Id="rId3" Type="http://schemas.openxmlformats.org/officeDocument/2006/relationships/hyperlink" Target="#'Jura (39)'!A1"/><Relationship Id="rId7" Type="http://schemas.openxmlformats.org/officeDocument/2006/relationships/hyperlink" Target="#'Cotes d''Or (21)'!A1"/><Relationship Id="rId2" Type="http://schemas.openxmlformats.org/officeDocument/2006/relationships/hyperlink" Target="#'Secteur sanitaire'!A1"/><Relationship Id="rId1" Type="http://schemas.openxmlformats.org/officeDocument/2006/relationships/hyperlink" Target="#sommaire"/><Relationship Id="rId6" Type="http://schemas.openxmlformats.org/officeDocument/2006/relationships/hyperlink" Target="#'Haute-Sa&#244;ne (70)'!A1"/><Relationship Id="rId11" Type="http://schemas.openxmlformats.org/officeDocument/2006/relationships/hyperlink" Target="#'Nord-Franche-Comt&#233;'!A1"/><Relationship Id="rId5" Type="http://schemas.openxmlformats.org/officeDocument/2006/relationships/hyperlink" Target="#'Doubs (25)'!A1"/><Relationship Id="rId10" Type="http://schemas.openxmlformats.org/officeDocument/2006/relationships/hyperlink" Target="#'Territoire de Belfort (90)'!A1"/><Relationship Id="rId4" Type="http://schemas.openxmlformats.org/officeDocument/2006/relationships/hyperlink" Target="#'Nievre (58)'!A1"/><Relationship Id="rId9" Type="http://schemas.openxmlformats.org/officeDocument/2006/relationships/hyperlink" Target="#'Yonne (89)'!A1"/></Relationships>
</file>

<file path=xl/drawings/_rels/drawing4.xml.rels><?xml version="1.0" encoding="UTF-8" standalone="yes"?>
<Relationships xmlns="http://schemas.openxmlformats.org/package/2006/relationships"><Relationship Id="rId8" Type="http://schemas.openxmlformats.org/officeDocument/2006/relationships/hyperlink" Target="#'Sa&#244;ne-et-Loire (71)'!A1"/><Relationship Id="rId3" Type="http://schemas.openxmlformats.org/officeDocument/2006/relationships/hyperlink" Target="#'Jura (39)'!A1"/><Relationship Id="rId7" Type="http://schemas.openxmlformats.org/officeDocument/2006/relationships/hyperlink" Target="#'Cotes d''Or (21)'!A1"/><Relationship Id="rId2" Type="http://schemas.openxmlformats.org/officeDocument/2006/relationships/hyperlink" Target="#'Secteur sanitaire'!A1"/><Relationship Id="rId1" Type="http://schemas.openxmlformats.org/officeDocument/2006/relationships/hyperlink" Target="#sommaire"/><Relationship Id="rId6" Type="http://schemas.openxmlformats.org/officeDocument/2006/relationships/hyperlink" Target="#'Haute-Sa&#244;ne (70)'!A1"/><Relationship Id="rId11" Type="http://schemas.openxmlformats.org/officeDocument/2006/relationships/hyperlink" Target="#'Nord-Franche-Comt&#233;'!A1"/><Relationship Id="rId5" Type="http://schemas.openxmlformats.org/officeDocument/2006/relationships/hyperlink" Target="#'Doubs (25)'!A1"/><Relationship Id="rId10" Type="http://schemas.openxmlformats.org/officeDocument/2006/relationships/hyperlink" Target="#'Territoire de Belfort (90)'!A1"/><Relationship Id="rId4" Type="http://schemas.openxmlformats.org/officeDocument/2006/relationships/hyperlink" Target="#'Nievre (58)'!A1"/><Relationship Id="rId9" Type="http://schemas.openxmlformats.org/officeDocument/2006/relationships/hyperlink" Target="#'Yonne (89)'!A1"/></Relationships>
</file>

<file path=xl/drawings/_rels/drawing5.xml.rels><?xml version="1.0" encoding="UTF-8" standalone="yes"?>
<Relationships xmlns="http://schemas.openxmlformats.org/package/2006/relationships"><Relationship Id="rId8" Type="http://schemas.openxmlformats.org/officeDocument/2006/relationships/hyperlink" Target="#'Sa&#244;ne-et-Loire (71)'!A1"/><Relationship Id="rId3" Type="http://schemas.openxmlformats.org/officeDocument/2006/relationships/hyperlink" Target="#'Jura (39)'!A1"/><Relationship Id="rId7" Type="http://schemas.openxmlformats.org/officeDocument/2006/relationships/hyperlink" Target="#'Cotes d''Or (21)'!A1"/><Relationship Id="rId2" Type="http://schemas.openxmlformats.org/officeDocument/2006/relationships/hyperlink" Target="#'Secteur sanitaire'!A1"/><Relationship Id="rId1" Type="http://schemas.openxmlformats.org/officeDocument/2006/relationships/hyperlink" Target="#sommaire"/><Relationship Id="rId6" Type="http://schemas.openxmlformats.org/officeDocument/2006/relationships/hyperlink" Target="#'Haute-Sa&#244;ne (70)'!A1"/><Relationship Id="rId11" Type="http://schemas.openxmlformats.org/officeDocument/2006/relationships/hyperlink" Target="#'Nord-Franche-Comt&#233;'!A1"/><Relationship Id="rId5" Type="http://schemas.openxmlformats.org/officeDocument/2006/relationships/hyperlink" Target="#'Doubs (25)'!A1"/><Relationship Id="rId10" Type="http://schemas.openxmlformats.org/officeDocument/2006/relationships/hyperlink" Target="#'Territoire de Belfort (90)'!A1"/><Relationship Id="rId4" Type="http://schemas.openxmlformats.org/officeDocument/2006/relationships/hyperlink" Target="#'Nievre (58)'!A1"/><Relationship Id="rId9" Type="http://schemas.openxmlformats.org/officeDocument/2006/relationships/hyperlink" Target="#'Yonne (89)'!A1"/></Relationships>
</file>

<file path=xl/drawings/_rels/drawing6.xml.rels><?xml version="1.0" encoding="UTF-8" standalone="yes"?>
<Relationships xmlns="http://schemas.openxmlformats.org/package/2006/relationships"><Relationship Id="rId8" Type="http://schemas.openxmlformats.org/officeDocument/2006/relationships/hyperlink" Target="#'Sa&#244;ne-et-Loire (71)'!A1"/><Relationship Id="rId3" Type="http://schemas.openxmlformats.org/officeDocument/2006/relationships/hyperlink" Target="#'Jura (39)'!A1"/><Relationship Id="rId7" Type="http://schemas.openxmlformats.org/officeDocument/2006/relationships/hyperlink" Target="#'Cotes d''Or (21)'!A1"/><Relationship Id="rId2" Type="http://schemas.openxmlformats.org/officeDocument/2006/relationships/hyperlink" Target="#'Secteur sanitaire'!A1"/><Relationship Id="rId1" Type="http://schemas.openxmlformats.org/officeDocument/2006/relationships/hyperlink" Target="#sommaire"/><Relationship Id="rId6" Type="http://schemas.openxmlformats.org/officeDocument/2006/relationships/hyperlink" Target="#'Haute-Sa&#244;ne (70)'!A1"/><Relationship Id="rId11" Type="http://schemas.openxmlformats.org/officeDocument/2006/relationships/hyperlink" Target="#'Nord-Franche-Comt&#233;'!A1"/><Relationship Id="rId5" Type="http://schemas.openxmlformats.org/officeDocument/2006/relationships/hyperlink" Target="#'Doubs (25)'!A1"/><Relationship Id="rId10" Type="http://schemas.openxmlformats.org/officeDocument/2006/relationships/hyperlink" Target="#'Territoire de Belfort (90)'!A1"/><Relationship Id="rId4" Type="http://schemas.openxmlformats.org/officeDocument/2006/relationships/hyperlink" Target="#'Nievre (58)'!A1"/><Relationship Id="rId9" Type="http://schemas.openxmlformats.org/officeDocument/2006/relationships/hyperlink" Target="#'Yonne (89)'!A1"/></Relationships>
</file>

<file path=xl/drawings/_rels/drawing7.xml.rels><?xml version="1.0" encoding="UTF-8" standalone="yes"?>
<Relationships xmlns="http://schemas.openxmlformats.org/package/2006/relationships"><Relationship Id="rId8" Type="http://schemas.openxmlformats.org/officeDocument/2006/relationships/hyperlink" Target="#'Sa&#244;ne-et-Loire (71)'!A1"/><Relationship Id="rId3" Type="http://schemas.openxmlformats.org/officeDocument/2006/relationships/hyperlink" Target="#'Jura (39)'!A1"/><Relationship Id="rId7" Type="http://schemas.openxmlformats.org/officeDocument/2006/relationships/hyperlink" Target="#'Cotes d''Or (21)'!A1"/><Relationship Id="rId2" Type="http://schemas.openxmlformats.org/officeDocument/2006/relationships/hyperlink" Target="#'Secteur sanitaire'!A1"/><Relationship Id="rId1" Type="http://schemas.openxmlformats.org/officeDocument/2006/relationships/hyperlink" Target="#sommaire"/><Relationship Id="rId6" Type="http://schemas.openxmlformats.org/officeDocument/2006/relationships/hyperlink" Target="#'Haute-Sa&#244;ne (70)'!A1"/><Relationship Id="rId11" Type="http://schemas.openxmlformats.org/officeDocument/2006/relationships/hyperlink" Target="#'Nord-Franche-Comt&#233;'!A1"/><Relationship Id="rId5" Type="http://schemas.openxmlformats.org/officeDocument/2006/relationships/hyperlink" Target="#'Doubs (25)'!A1"/><Relationship Id="rId10" Type="http://schemas.openxmlformats.org/officeDocument/2006/relationships/hyperlink" Target="#'Territoire de Belfort (90)'!A1"/><Relationship Id="rId4" Type="http://schemas.openxmlformats.org/officeDocument/2006/relationships/hyperlink" Target="#'Nievre (58)'!A1"/><Relationship Id="rId9" Type="http://schemas.openxmlformats.org/officeDocument/2006/relationships/hyperlink" Target="#'Yonne (89)'!A1"/></Relationships>
</file>

<file path=xl/drawings/_rels/drawing8.xml.rels><?xml version="1.0" encoding="UTF-8" standalone="yes"?>
<Relationships xmlns="http://schemas.openxmlformats.org/package/2006/relationships"><Relationship Id="rId8" Type="http://schemas.openxmlformats.org/officeDocument/2006/relationships/hyperlink" Target="#'Sa&#244;ne-et-Loire (71)'!A1"/><Relationship Id="rId3" Type="http://schemas.openxmlformats.org/officeDocument/2006/relationships/hyperlink" Target="#'Jura (39)'!A1"/><Relationship Id="rId7" Type="http://schemas.openxmlformats.org/officeDocument/2006/relationships/hyperlink" Target="#'Cotes d''Or (21)'!A1"/><Relationship Id="rId2" Type="http://schemas.openxmlformats.org/officeDocument/2006/relationships/hyperlink" Target="#'Secteur sanitaire'!A1"/><Relationship Id="rId1" Type="http://schemas.openxmlformats.org/officeDocument/2006/relationships/hyperlink" Target="#sommaire"/><Relationship Id="rId6" Type="http://schemas.openxmlformats.org/officeDocument/2006/relationships/hyperlink" Target="#'Haute-Sa&#244;ne (70)'!A1"/><Relationship Id="rId11" Type="http://schemas.openxmlformats.org/officeDocument/2006/relationships/hyperlink" Target="#'Nord-Franche-Comt&#233;'!A1"/><Relationship Id="rId5" Type="http://schemas.openxmlformats.org/officeDocument/2006/relationships/hyperlink" Target="#'Doubs (25)'!A1"/><Relationship Id="rId10" Type="http://schemas.openxmlformats.org/officeDocument/2006/relationships/hyperlink" Target="#'Territoire de Belfort (90)'!A1"/><Relationship Id="rId4" Type="http://schemas.openxmlformats.org/officeDocument/2006/relationships/hyperlink" Target="#'Nievre (58)'!A1"/><Relationship Id="rId9" Type="http://schemas.openxmlformats.org/officeDocument/2006/relationships/hyperlink" Target="#'Yonne (89)'!A1"/></Relationships>
</file>

<file path=xl/drawings/_rels/drawing9.xml.rels><?xml version="1.0" encoding="UTF-8" standalone="yes"?>
<Relationships xmlns="http://schemas.openxmlformats.org/package/2006/relationships"><Relationship Id="rId8" Type="http://schemas.openxmlformats.org/officeDocument/2006/relationships/hyperlink" Target="#'Sa&#244;ne-et-Loire (71)'!A1"/><Relationship Id="rId3" Type="http://schemas.openxmlformats.org/officeDocument/2006/relationships/hyperlink" Target="#'Jura (39)'!A1"/><Relationship Id="rId7" Type="http://schemas.openxmlformats.org/officeDocument/2006/relationships/hyperlink" Target="#'Cotes d''Or (21)'!A1"/><Relationship Id="rId2" Type="http://schemas.openxmlformats.org/officeDocument/2006/relationships/hyperlink" Target="#'Secteur sanitaire'!A1"/><Relationship Id="rId1" Type="http://schemas.openxmlformats.org/officeDocument/2006/relationships/hyperlink" Target="#sommaire"/><Relationship Id="rId6" Type="http://schemas.openxmlformats.org/officeDocument/2006/relationships/hyperlink" Target="#'Haute-Sa&#244;ne (70)'!A1"/><Relationship Id="rId11" Type="http://schemas.openxmlformats.org/officeDocument/2006/relationships/hyperlink" Target="#'Nord-Franche-Comt&#233;'!A1"/><Relationship Id="rId5" Type="http://schemas.openxmlformats.org/officeDocument/2006/relationships/hyperlink" Target="#'Doubs (25)'!A1"/><Relationship Id="rId10" Type="http://schemas.openxmlformats.org/officeDocument/2006/relationships/hyperlink" Target="#'Territoire de Belfort (90)'!A1"/><Relationship Id="rId4" Type="http://schemas.openxmlformats.org/officeDocument/2006/relationships/hyperlink" Target="#'Nievre (58)'!A1"/><Relationship Id="rId9" Type="http://schemas.openxmlformats.org/officeDocument/2006/relationships/hyperlink" Target="#'Yonne (89)'!A1"/></Relationships>
</file>

<file path=xl/drawings/drawing1.xml><?xml version="1.0" encoding="utf-8"?>
<xdr:wsDr xmlns:xdr="http://schemas.openxmlformats.org/drawingml/2006/spreadsheetDrawing" xmlns:a="http://schemas.openxmlformats.org/drawingml/2006/main">
  <xdr:twoCellAnchor editAs="oneCell">
    <xdr:from>
      <xdr:col>2</xdr:col>
      <xdr:colOff>106403</xdr:colOff>
      <xdr:row>3</xdr:row>
      <xdr:rowOff>32143</xdr:rowOff>
    </xdr:from>
    <xdr:to>
      <xdr:col>3</xdr:col>
      <xdr:colOff>702199</xdr:colOff>
      <xdr:row>4</xdr:row>
      <xdr:rowOff>172397</xdr:rowOff>
    </xdr:to>
    <xdr:pic>
      <xdr:nvPicPr>
        <xdr:cNvPr id="2" name="Image 1" descr="Agence régionale de santé Bourgogne-Franche-Comté">
          <a:extLst>
            <a:ext uri="{FF2B5EF4-FFF2-40B4-BE49-F238E27FC236}">
              <a16:creationId xmlns:a16="http://schemas.microsoft.com/office/drawing/2014/main" id="{F7DC74BB-D9A1-465A-9716-2C61DE492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979" y="873391"/>
          <a:ext cx="1378805" cy="811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54311</xdr:colOff>
      <xdr:row>3</xdr:row>
      <xdr:rowOff>22166</xdr:rowOff>
    </xdr:from>
    <xdr:to>
      <xdr:col>19</xdr:col>
      <xdr:colOff>11308</xdr:colOff>
      <xdr:row>4</xdr:row>
      <xdr:rowOff>153474</xdr:rowOff>
    </xdr:to>
    <xdr:pic>
      <xdr:nvPicPr>
        <xdr:cNvPr id="3" name="Picture 2">
          <a:extLst>
            <a:ext uri="{FF2B5EF4-FFF2-40B4-BE49-F238E27FC236}">
              <a16:creationId xmlns:a16="http://schemas.microsoft.com/office/drawing/2014/main" id="{C1A4321A-CA90-4935-AFD1-5A60DB2009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19207" y="863414"/>
          <a:ext cx="1478557" cy="69494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6</xdr:col>
      <xdr:colOff>562318</xdr:colOff>
      <xdr:row>20</xdr:row>
      <xdr:rowOff>36094</xdr:rowOff>
    </xdr:from>
    <xdr:to>
      <xdr:col>9</xdr:col>
      <xdr:colOff>574510</xdr:colOff>
      <xdr:row>24</xdr:row>
      <xdr:rowOff>3992</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9303CA1-DCAA-45DF-9926-DCCE28EC5982}"/>
            </a:ext>
          </a:extLst>
        </xdr:cNvPr>
        <xdr:cNvSpPr/>
      </xdr:nvSpPr>
      <xdr:spPr>
        <a:xfrm>
          <a:off x="5101661" y="4423037"/>
          <a:ext cx="2281863" cy="708126"/>
        </a:xfrm>
        <a:prstGeom prst="rect">
          <a:avLst/>
        </a:prstGeom>
        <a:solidFill>
          <a:schemeClr val="accent6">
            <a:lumMod val="75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Structures accessibles</a:t>
          </a:r>
          <a:r>
            <a:rPr lang="fr-FR" sz="1200" b="1" baseline="0"/>
            <a:t> sur orientation d'un professionnel de santé</a:t>
          </a:r>
          <a:endParaRPr lang="fr-FR" sz="1200" b="1"/>
        </a:p>
      </xdr:txBody>
    </xdr:sp>
    <xdr:clientData/>
  </xdr:twoCellAnchor>
  <xdr:twoCellAnchor>
    <xdr:from>
      <xdr:col>11</xdr:col>
      <xdr:colOff>431847</xdr:colOff>
      <xdr:row>20</xdr:row>
      <xdr:rowOff>14324</xdr:rowOff>
    </xdr:from>
    <xdr:to>
      <xdr:col>14</xdr:col>
      <xdr:colOff>441071</xdr:colOff>
      <xdr:row>23</xdr:row>
      <xdr:rowOff>172820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992FDABF-C6C8-4EF6-970D-6D35C5D0D00D}"/>
            </a:ext>
          </a:extLst>
        </xdr:cNvPr>
        <xdr:cNvSpPr/>
      </xdr:nvSpPr>
      <xdr:spPr>
        <a:xfrm>
          <a:off x="8753976" y="4401267"/>
          <a:ext cx="2278895" cy="713667"/>
        </a:xfrm>
        <a:prstGeom prst="rect">
          <a:avLst/>
        </a:prstGeom>
        <a:solidFill>
          <a:schemeClr val="accent1"/>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t>Structures</a:t>
          </a:r>
          <a:r>
            <a:rPr lang="fr-FR" sz="1200" b="1" baseline="0"/>
            <a:t> accessibles </a:t>
          </a:r>
        </a:p>
        <a:p>
          <a:pPr algn="ctr"/>
          <a:r>
            <a:rPr lang="fr-FR" sz="1200" b="1" baseline="0"/>
            <a:t>sur accès direct</a:t>
          </a:r>
          <a:endParaRPr lang="fr-FR" sz="1200" b="1"/>
        </a:p>
      </xdr:txBody>
    </xdr:sp>
    <xdr:clientData/>
  </xdr:twoCellAnchor>
  <xdr:twoCellAnchor>
    <xdr:from>
      <xdr:col>8</xdr:col>
      <xdr:colOff>621793</xdr:colOff>
      <xdr:row>196</xdr:row>
      <xdr:rowOff>24384</xdr:rowOff>
    </xdr:from>
    <xdr:to>
      <xdr:col>12</xdr:col>
      <xdr:colOff>165463</xdr:colOff>
      <xdr:row>200</xdr:row>
      <xdr:rowOff>0</xdr:rowOff>
    </xdr:to>
    <xdr:sp macro="" textlink="">
      <xdr:nvSpPr>
        <xdr:cNvPr id="13" name="Rectangle 12">
          <a:hlinkClick xmlns:r="http://schemas.openxmlformats.org/officeDocument/2006/relationships" r:id="rId4"/>
          <a:extLst>
            <a:ext uri="{FF2B5EF4-FFF2-40B4-BE49-F238E27FC236}">
              <a16:creationId xmlns:a16="http://schemas.microsoft.com/office/drawing/2014/main" id="{CA0C1386-A989-4489-B5F3-A23138EF5246}"/>
            </a:ext>
          </a:extLst>
        </xdr:cNvPr>
        <xdr:cNvSpPr/>
      </xdr:nvSpPr>
      <xdr:spPr>
        <a:xfrm>
          <a:off x="6891964" y="36757138"/>
          <a:ext cx="2678756" cy="707136"/>
        </a:xfrm>
        <a:prstGeom prst="rect">
          <a:avLst/>
        </a:prstGeom>
        <a:solidFill>
          <a:schemeClr val="accent1"/>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600" b="1"/>
            <a:t>Toutes les structures accessibles sur accès direct</a:t>
          </a:r>
        </a:p>
      </xdr:txBody>
    </xdr:sp>
    <xdr:clientData/>
  </xdr:twoCellAnchor>
  <xdr:twoCellAnchor>
    <xdr:from>
      <xdr:col>13</xdr:col>
      <xdr:colOff>475488</xdr:colOff>
      <xdr:row>190</xdr:row>
      <xdr:rowOff>36576</xdr:rowOff>
    </xdr:from>
    <xdr:to>
      <xdr:col>16</xdr:col>
      <xdr:colOff>316992</xdr:colOff>
      <xdr:row>191</xdr:row>
      <xdr:rowOff>158496</xdr:rowOff>
    </xdr:to>
    <xdr:sp macro="" textlink="">
      <xdr:nvSpPr>
        <xdr:cNvPr id="18" name="Rectangle 17">
          <a:hlinkClick xmlns:r="http://schemas.openxmlformats.org/officeDocument/2006/relationships" r:id="rId5"/>
          <a:extLst>
            <a:ext uri="{FF2B5EF4-FFF2-40B4-BE49-F238E27FC236}">
              <a16:creationId xmlns:a16="http://schemas.microsoft.com/office/drawing/2014/main" id="{1C2F0594-CAFA-404F-B711-CD6670CF929B}"/>
            </a:ext>
          </a:extLst>
        </xdr:cNvPr>
        <xdr:cNvSpPr/>
      </xdr:nvSpPr>
      <xdr:spPr>
        <a:xfrm>
          <a:off x="10619232" y="20031456"/>
          <a:ext cx="2182368" cy="30480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b="1"/>
            <a:t>Retour au sommaire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90055</xdr:colOff>
      <xdr:row>0</xdr:row>
      <xdr:rowOff>126076</xdr:rowOff>
    </xdr:from>
    <xdr:to>
      <xdr:col>0</xdr:col>
      <xdr:colOff>907635</xdr:colOff>
      <xdr:row>0</xdr:row>
      <xdr:rowOff>636295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E25D5CB-1B26-4024-986D-55DE22A74DD7}"/>
            </a:ext>
          </a:extLst>
        </xdr:cNvPr>
        <xdr:cNvSpPr/>
      </xdr:nvSpPr>
      <xdr:spPr>
        <a:xfrm>
          <a:off x="90055" y="126076"/>
          <a:ext cx="817580" cy="51021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t>Retour au sommaire </a:t>
          </a:r>
        </a:p>
      </xdr:txBody>
    </xdr:sp>
    <xdr:clientData/>
  </xdr:twoCellAnchor>
  <xdr:twoCellAnchor>
    <xdr:from>
      <xdr:col>13</xdr:col>
      <xdr:colOff>2011680</xdr:colOff>
      <xdr:row>0</xdr:row>
      <xdr:rowOff>0</xdr:rowOff>
    </xdr:from>
    <xdr:to>
      <xdr:col>14</xdr:col>
      <xdr:colOff>188422</xdr:colOff>
      <xdr:row>0</xdr:row>
      <xdr:rowOff>709353</xdr:rowOff>
    </xdr:to>
    <xdr:sp macro="" textlink="">
      <xdr:nvSpPr>
        <xdr:cNvPr id="3" name="Flèche : pentagone 2">
          <a:extLst>
            <a:ext uri="{FF2B5EF4-FFF2-40B4-BE49-F238E27FC236}">
              <a16:creationId xmlns:a16="http://schemas.microsoft.com/office/drawing/2014/main" id="{8A9D4D9E-4FCF-45DA-86DA-AA675286FD20}"/>
            </a:ext>
          </a:extLst>
        </xdr:cNvPr>
        <xdr:cNvSpPr/>
      </xdr:nvSpPr>
      <xdr:spPr>
        <a:xfrm>
          <a:off x="19537680" y="0"/>
          <a:ext cx="198582" cy="709353"/>
        </a:xfrm>
        <a:prstGeom prst="homePlate">
          <a:avLst/>
        </a:prstGeom>
        <a:solidFill>
          <a:srgbClr val="DCC5ED"/>
        </a:solidFill>
        <a:ln>
          <a:solidFill>
            <a:srgbClr val="DCC5E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20320</xdr:colOff>
      <xdr:row>0</xdr:row>
      <xdr:rowOff>101600</xdr:rowOff>
    </xdr:from>
    <xdr:to>
      <xdr:col>3</xdr:col>
      <xdr:colOff>441440</xdr:colOff>
      <xdr:row>0</xdr:row>
      <xdr:rowOff>618602</xdr:rowOff>
    </xdr:to>
    <xdr:sp macro="" textlink="">
      <xdr:nvSpPr>
        <xdr:cNvPr id="13" name="Flèche : pentagone 12">
          <a:hlinkClick xmlns:r="http://schemas.openxmlformats.org/officeDocument/2006/relationships" r:id="rId2"/>
          <a:extLst>
            <a:ext uri="{FF2B5EF4-FFF2-40B4-BE49-F238E27FC236}">
              <a16:creationId xmlns:a16="http://schemas.microsoft.com/office/drawing/2014/main" id="{4F55B8C9-373F-471D-B8BB-8CD27E03B629}"/>
            </a:ext>
          </a:extLst>
        </xdr:cNvPr>
        <xdr:cNvSpPr/>
      </xdr:nvSpPr>
      <xdr:spPr>
        <a:xfrm>
          <a:off x="1605280" y="101600"/>
          <a:ext cx="1620000" cy="517002"/>
        </a:xfrm>
        <a:prstGeom prst="homePlate">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chemeClr val="tx1"/>
              </a:solidFill>
            </a:rPr>
            <a:t>Toutes les structures de</a:t>
          </a:r>
          <a:r>
            <a:rPr lang="fr-FR" sz="1100" b="0" baseline="0">
              <a:solidFill>
                <a:schemeClr val="tx1"/>
              </a:solidFill>
            </a:rPr>
            <a:t> la région</a:t>
          </a:r>
          <a:endParaRPr lang="fr-FR" sz="1100" b="0">
            <a:solidFill>
              <a:schemeClr val="tx1"/>
            </a:solidFill>
          </a:endParaRPr>
        </a:p>
      </xdr:txBody>
    </xdr:sp>
    <xdr:clientData/>
  </xdr:twoCellAnchor>
  <xdr:twoCellAnchor>
    <xdr:from>
      <xdr:col>4</xdr:col>
      <xdr:colOff>663827</xdr:colOff>
      <xdr:row>0</xdr:row>
      <xdr:rowOff>101600</xdr:rowOff>
    </xdr:from>
    <xdr:to>
      <xdr:col>5</xdr:col>
      <xdr:colOff>515987</xdr:colOff>
      <xdr:row>0</xdr:row>
      <xdr:rowOff>618603</xdr:rowOff>
    </xdr:to>
    <xdr:sp macro="" textlink="">
      <xdr:nvSpPr>
        <xdr:cNvPr id="14" name="Flèche : chevron 13">
          <a:hlinkClick xmlns:r="http://schemas.openxmlformats.org/officeDocument/2006/relationships" r:id="rId3"/>
          <a:extLst>
            <a:ext uri="{FF2B5EF4-FFF2-40B4-BE49-F238E27FC236}">
              <a16:creationId xmlns:a16="http://schemas.microsoft.com/office/drawing/2014/main" id="{FEAB477B-E450-4E7E-90C4-EA476745934F}"/>
            </a:ext>
          </a:extLst>
        </xdr:cNvPr>
        <xdr:cNvSpPr/>
      </xdr:nvSpPr>
      <xdr:spPr>
        <a:xfrm>
          <a:off x="6079107" y="10160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Jura (39)</a:t>
          </a:r>
        </a:p>
      </xdr:txBody>
    </xdr:sp>
    <xdr:clientData/>
  </xdr:twoCellAnchor>
  <xdr:twoCellAnchor>
    <xdr:from>
      <xdr:col>5</xdr:col>
      <xdr:colOff>449295</xdr:colOff>
      <xdr:row>0</xdr:row>
      <xdr:rowOff>101600</xdr:rowOff>
    </xdr:from>
    <xdr:to>
      <xdr:col>6</xdr:col>
      <xdr:colOff>514815</xdr:colOff>
      <xdr:row>0</xdr:row>
      <xdr:rowOff>618603</xdr:rowOff>
    </xdr:to>
    <xdr:sp macro="" textlink="">
      <xdr:nvSpPr>
        <xdr:cNvPr id="15" name="Flèche : chevron 14">
          <a:hlinkClick xmlns:r="http://schemas.openxmlformats.org/officeDocument/2006/relationships" r:id="rId4"/>
          <a:extLst>
            <a:ext uri="{FF2B5EF4-FFF2-40B4-BE49-F238E27FC236}">
              <a16:creationId xmlns:a16="http://schemas.microsoft.com/office/drawing/2014/main" id="{C7CB8534-8AF3-4821-ABCF-EDE076F1F44F}"/>
            </a:ext>
          </a:extLst>
        </xdr:cNvPr>
        <xdr:cNvSpPr/>
      </xdr:nvSpPr>
      <xdr:spPr>
        <a:xfrm>
          <a:off x="7632415" y="10160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Nièvre (58)</a:t>
          </a:r>
          <a:r>
            <a:rPr lang="fr-FR" sz="900">
              <a:solidFill>
                <a:schemeClr val="tx1"/>
              </a:solidFill>
            </a:rPr>
            <a:t> </a:t>
          </a:r>
        </a:p>
      </xdr:txBody>
    </xdr:sp>
    <xdr:clientData/>
  </xdr:twoCellAnchor>
  <xdr:twoCellAnchor>
    <xdr:from>
      <xdr:col>3</xdr:col>
      <xdr:colOff>1830246</xdr:colOff>
      <xdr:row>0</xdr:row>
      <xdr:rowOff>101600</xdr:rowOff>
    </xdr:from>
    <xdr:to>
      <xdr:col>4</xdr:col>
      <xdr:colOff>818806</xdr:colOff>
      <xdr:row>0</xdr:row>
      <xdr:rowOff>618603</xdr:rowOff>
    </xdr:to>
    <xdr:sp macro="" textlink="">
      <xdr:nvSpPr>
        <xdr:cNvPr id="16" name="Flèche : chevron 15">
          <a:hlinkClick xmlns:r="http://schemas.openxmlformats.org/officeDocument/2006/relationships" r:id="rId5"/>
          <a:extLst>
            <a:ext uri="{FF2B5EF4-FFF2-40B4-BE49-F238E27FC236}">
              <a16:creationId xmlns:a16="http://schemas.microsoft.com/office/drawing/2014/main" id="{9212A05F-B4E1-4936-9207-293266ACEBD5}"/>
            </a:ext>
          </a:extLst>
        </xdr:cNvPr>
        <xdr:cNvSpPr/>
      </xdr:nvSpPr>
      <xdr:spPr>
        <a:xfrm>
          <a:off x="4614086" y="10160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effectLst/>
              <a:latin typeface="+mn-lt"/>
              <a:ea typeface="+mn-ea"/>
              <a:cs typeface="+mn-cs"/>
            </a:rPr>
            <a:t>Doubs (25)</a:t>
          </a:r>
          <a:endParaRPr lang="fr-FR" sz="900">
            <a:solidFill>
              <a:schemeClr val="tx1"/>
            </a:solidFill>
            <a:effectLst/>
          </a:endParaRPr>
        </a:p>
      </xdr:txBody>
    </xdr:sp>
    <xdr:clientData/>
  </xdr:twoCellAnchor>
  <xdr:twoCellAnchor>
    <xdr:from>
      <xdr:col>6</xdr:col>
      <xdr:colOff>378975</xdr:colOff>
      <xdr:row>0</xdr:row>
      <xdr:rowOff>101600</xdr:rowOff>
    </xdr:from>
    <xdr:to>
      <xdr:col>7</xdr:col>
      <xdr:colOff>546095</xdr:colOff>
      <xdr:row>0</xdr:row>
      <xdr:rowOff>618603</xdr:rowOff>
    </xdr:to>
    <xdr:sp macro="" textlink="">
      <xdr:nvSpPr>
        <xdr:cNvPr id="17" name="Flèche : chevron 16">
          <a:hlinkClick xmlns:r="http://schemas.openxmlformats.org/officeDocument/2006/relationships" r:id="rId6"/>
          <a:extLst>
            <a:ext uri="{FF2B5EF4-FFF2-40B4-BE49-F238E27FC236}">
              <a16:creationId xmlns:a16="http://schemas.microsoft.com/office/drawing/2014/main" id="{BAA40708-8F05-43EA-A762-2C906D5549B3}"/>
            </a:ext>
          </a:extLst>
        </xdr:cNvPr>
        <xdr:cNvSpPr/>
      </xdr:nvSpPr>
      <xdr:spPr>
        <a:xfrm>
          <a:off x="9116575" y="10160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Haute-Saône (70)</a:t>
          </a:r>
        </a:p>
      </xdr:txBody>
    </xdr:sp>
    <xdr:clientData/>
  </xdr:twoCellAnchor>
  <xdr:twoCellAnchor>
    <xdr:from>
      <xdr:col>3</xdr:col>
      <xdr:colOff>291959</xdr:colOff>
      <xdr:row>0</xdr:row>
      <xdr:rowOff>101600</xdr:rowOff>
    </xdr:from>
    <xdr:to>
      <xdr:col>3</xdr:col>
      <xdr:colOff>1911959</xdr:colOff>
      <xdr:row>0</xdr:row>
      <xdr:rowOff>618603</xdr:rowOff>
    </xdr:to>
    <xdr:sp macro="" textlink="">
      <xdr:nvSpPr>
        <xdr:cNvPr id="18" name="Flèche : chevron 17">
          <a:hlinkClick xmlns:r="http://schemas.openxmlformats.org/officeDocument/2006/relationships" r:id="rId7"/>
          <a:extLst>
            <a:ext uri="{FF2B5EF4-FFF2-40B4-BE49-F238E27FC236}">
              <a16:creationId xmlns:a16="http://schemas.microsoft.com/office/drawing/2014/main" id="{208F28A1-D02C-40BC-98D6-F4CDB9F579B1}"/>
            </a:ext>
          </a:extLst>
        </xdr:cNvPr>
        <xdr:cNvSpPr/>
      </xdr:nvSpPr>
      <xdr:spPr>
        <a:xfrm>
          <a:off x="3075799" y="10160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0">
              <a:solidFill>
                <a:schemeClr val="tx1"/>
              </a:solidFill>
            </a:rPr>
            <a:t>Côte-d'Or (21)</a:t>
          </a:r>
        </a:p>
      </xdr:txBody>
    </xdr:sp>
    <xdr:clientData/>
  </xdr:twoCellAnchor>
  <xdr:twoCellAnchor>
    <xdr:from>
      <xdr:col>7</xdr:col>
      <xdr:colOff>416381</xdr:colOff>
      <xdr:row>0</xdr:row>
      <xdr:rowOff>101600</xdr:rowOff>
    </xdr:from>
    <xdr:to>
      <xdr:col>8</xdr:col>
      <xdr:colOff>644461</xdr:colOff>
      <xdr:row>0</xdr:row>
      <xdr:rowOff>618603</xdr:rowOff>
    </xdr:to>
    <xdr:sp macro="" textlink="">
      <xdr:nvSpPr>
        <xdr:cNvPr id="19" name="Flèche : chevron 18">
          <a:hlinkClick xmlns:r="http://schemas.openxmlformats.org/officeDocument/2006/relationships" r:id="rId8"/>
          <a:extLst>
            <a:ext uri="{FF2B5EF4-FFF2-40B4-BE49-F238E27FC236}">
              <a16:creationId xmlns:a16="http://schemas.microsoft.com/office/drawing/2014/main" id="{FEE96796-71ED-4FE7-930D-72C2D3650D64}"/>
            </a:ext>
          </a:extLst>
        </xdr:cNvPr>
        <xdr:cNvSpPr/>
      </xdr:nvSpPr>
      <xdr:spPr>
        <a:xfrm>
          <a:off x="10606861" y="10160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Saône-et-Loire (71)</a:t>
          </a:r>
        </a:p>
      </xdr:txBody>
    </xdr:sp>
    <xdr:clientData/>
  </xdr:twoCellAnchor>
  <xdr:twoCellAnchor>
    <xdr:from>
      <xdr:col>8</xdr:col>
      <xdr:colOff>500138</xdr:colOff>
      <xdr:row>0</xdr:row>
      <xdr:rowOff>101600</xdr:rowOff>
    </xdr:from>
    <xdr:to>
      <xdr:col>8</xdr:col>
      <xdr:colOff>2120138</xdr:colOff>
      <xdr:row>0</xdr:row>
      <xdr:rowOff>618603</xdr:rowOff>
    </xdr:to>
    <xdr:sp macro="" textlink="">
      <xdr:nvSpPr>
        <xdr:cNvPr id="20" name="Flèche : chevron 19">
          <a:hlinkClick xmlns:r="http://schemas.openxmlformats.org/officeDocument/2006/relationships" r:id="rId9"/>
          <a:extLst>
            <a:ext uri="{FF2B5EF4-FFF2-40B4-BE49-F238E27FC236}">
              <a16:creationId xmlns:a16="http://schemas.microsoft.com/office/drawing/2014/main" id="{47C2371B-AF96-4022-9A7A-F8128517F82A}"/>
            </a:ext>
          </a:extLst>
        </xdr:cNvPr>
        <xdr:cNvSpPr/>
      </xdr:nvSpPr>
      <xdr:spPr>
        <a:xfrm>
          <a:off x="12082538" y="10160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Yonne (89)</a:t>
          </a:r>
        </a:p>
      </xdr:txBody>
    </xdr:sp>
    <xdr:clientData/>
  </xdr:twoCellAnchor>
  <xdr:twoCellAnchor>
    <xdr:from>
      <xdr:col>8</xdr:col>
      <xdr:colOff>1981137</xdr:colOff>
      <xdr:row>0</xdr:row>
      <xdr:rowOff>101600</xdr:rowOff>
    </xdr:from>
    <xdr:to>
      <xdr:col>9</xdr:col>
      <xdr:colOff>1172897</xdr:colOff>
      <xdr:row>0</xdr:row>
      <xdr:rowOff>618603</xdr:rowOff>
    </xdr:to>
    <xdr:sp macro="" textlink="">
      <xdr:nvSpPr>
        <xdr:cNvPr id="21" name="Flèche : chevron 20">
          <a:hlinkClick xmlns:r="http://schemas.openxmlformats.org/officeDocument/2006/relationships" r:id="rId10"/>
          <a:extLst>
            <a:ext uri="{FF2B5EF4-FFF2-40B4-BE49-F238E27FC236}">
              <a16:creationId xmlns:a16="http://schemas.microsoft.com/office/drawing/2014/main" id="{72E0FC02-BAA7-44FA-AA75-FDEDDA4613AF}"/>
            </a:ext>
          </a:extLst>
        </xdr:cNvPr>
        <xdr:cNvSpPr/>
      </xdr:nvSpPr>
      <xdr:spPr>
        <a:xfrm>
          <a:off x="13563537" y="101600"/>
          <a:ext cx="1620000" cy="517003"/>
        </a:xfrm>
        <a:prstGeom prst="chevron">
          <a:avLst/>
        </a:prstGeom>
        <a:solidFill>
          <a:srgbClr val="B887D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Territoire</a:t>
          </a:r>
          <a:r>
            <a:rPr lang="fr-FR" sz="900" b="1" baseline="0">
              <a:solidFill>
                <a:schemeClr val="tx1"/>
              </a:solidFill>
            </a:rPr>
            <a:t> de Belfort (90)</a:t>
          </a:r>
          <a:endParaRPr lang="fr-FR" sz="900" b="1">
            <a:solidFill>
              <a:schemeClr val="tx1"/>
            </a:solidFill>
          </a:endParaRPr>
        </a:p>
      </xdr:txBody>
    </xdr:sp>
    <xdr:clientData/>
  </xdr:twoCellAnchor>
  <xdr:twoCellAnchor>
    <xdr:from>
      <xdr:col>9</xdr:col>
      <xdr:colOff>1039767</xdr:colOff>
      <xdr:row>0</xdr:row>
      <xdr:rowOff>101600</xdr:rowOff>
    </xdr:from>
    <xdr:to>
      <xdr:col>10</xdr:col>
      <xdr:colOff>1176407</xdr:colOff>
      <xdr:row>0</xdr:row>
      <xdr:rowOff>618603</xdr:rowOff>
    </xdr:to>
    <xdr:sp macro="" textlink="">
      <xdr:nvSpPr>
        <xdr:cNvPr id="22" name="Flèche : chevron 21">
          <a:hlinkClick xmlns:r="http://schemas.openxmlformats.org/officeDocument/2006/relationships" r:id="rId11"/>
          <a:extLst>
            <a:ext uri="{FF2B5EF4-FFF2-40B4-BE49-F238E27FC236}">
              <a16:creationId xmlns:a16="http://schemas.microsoft.com/office/drawing/2014/main" id="{82FB6C20-59CA-419C-BFAC-74AB5836B304}"/>
            </a:ext>
          </a:extLst>
        </xdr:cNvPr>
        <xdr:cNvSpPr/>
      </xdr:nvSpPr>
      <xdr:spPr>
        <a:xfrm>
          <a:off x="15050407" y="10160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Intervention</a:t>
          </a:r>
          <a:r>
            <a:rPr lang="fr-FR" sz="900" b="1" baseline="0">
              <a:solidFill>
                <a:schemeClr val="tx1"/>
              </a:solidFill>
            </a:rPr>
            <a:t> en Nord-Franche-Comté</a:t>
          </a:r>
          <a:endParaRPr lang="fr-FR" sz="900" b="1">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90055</xdr:colOff>
      <xdr:row>0</xdr:row>
      <xdr:rowOff>126076</xdr:rowOff>
    </xdr:from>
    <xdr:to>
      <xdr:col>0</xdr:col>
      <xdr:colOff>907635</xdr:colOff>
      <xdr:row>0</xdr:row>
      <xdr:rowOff>636295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DB70FA4-0C9B-4B88-8E87-1A2D514FFB25}"/>
            </a:ext>
          </a:extLst>
        </xdr:cNvPr>
        <xdr:cNvSpPr/>
      </xdr:nvSpPr>
      <xdr:spPr>
        <a:xfrm>
          <a:off x="90055" y="126076"/>
          <a:ext cx="817580" cy="51021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t>Retour au sommaire </a:t>
          </a:r>
        </a:p>
      </xdr:txBody>
    </xdr:sp>
    <xdr:clientData/>
  </xdr:twoCellAnchor>
  <xdr:twoCellAnchor>
    <xdr:from>
      <xdr:col>12</xdr:col>
      <xdr:colOff>2011680</xdr:colOff>
      <xdr:row>0</xdr:row>
      <xdr:rowOff>0</xdr:rowOff>
    </xdr:from>
    <xdr:to>
      <xdr:col>13</xdr:col>
      <xdr:colOff>188422</xdr:colOff>
      <xdr:row>0</xdr:row>
      <xdr:rowOff>709353</xdr:rowOff>
    </xdr:to>
    <xdr:sp macro="" textlink="">
      <xdr:nvSpPr>
        <xdr:cNvPr id="3" name="Flèche : pentagone 2">
          <a:extLst>
            <a:ext uri="{FF2B5EF4-FFF2-40B4-BE49-F238E27FC236}">
              <a16:creationId xmlns:a16="http://schemas.microsoft.com/office/drawing/2014/main" id="{AEEE0D21-8A3B-4D2F-BF42-035DFC59B9E9}"/>
            </a:ext>
          </a:extLst>
        </xdr:cNvPr>
        <xdr:cNvSpPr/>
      </xdr:nvSpPr>
      <xdr:spPr>
        <a:xfrm>
          <a:off x="22518624" y="0"/>
          <a:ext cx="194518" cy="709353"/>
        </a:xfrm>
        <a:prstGeom prst="homePlate">
          <a:avLst/>
        </a:prstGeom>
        <a:solidFill>
          <a:srgbClr val="DCC5ED"/>
        </a:solidFill>
        <a:ln>
          <a:solidFill>
            <a:srgbClr val="DCC5E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406133</xdr:colOff>
      <xdr:row>0</xdr:row>
      <xdr:rowOff>77585</xdr:rowOff>
    </xdr:from>
    <xdr:to>
      <xdr:col>4</xdr:col>
      <xdr:colOff>696096</xdr:colOff>
      <xdr:row>0</xdr:row>
      <xdr:rowOff>594588</xdr:rowOff>
    </xdr:to>
    <xdr:sp macro="" textlink="">
      <xdr:nvSpPr>
        <xdr:cNvPr id="5" name="Flèche : chevron 4">
          <a:hlinkClick xmlns:r="http://schemas.openxmlformats.org/officeDocument/2006/relationships" r:id="rId2"/>
          <a:extLst>
            <a:ext uri="{FF2B5EF4-FFF2-40B4-BE49-F238E27FC236}">
              <a16:creationId xmlns:a16="http://schemas.microsoft.com/office/drawing/2014/main" id="{AE1905B9-DCDD-4893-BB2B-53C92A45D21A}"/>
            </a:ext>
          </a:extLst>
        </xdr:cNvPr>
        <xdr:cNvSpPr/>
      </xdr:nvSpPr>
      <xdr:spPr>
        <a:xfrm>
          <a:off x="6069871" y="77585"/>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Jura (39)</a:t>
          </a:r>
        </a:p>
      </xdr:txBody>
    </xdr:sp>
    <xdr:clientData/>
  </xdr:twoCellAnchor>
  <xdr:twoCellAnchor>
    <xdr:from>
      <xdr:col>4</xdr:col>
      <xdr:colOff>629404</xdr:colOff>
      <xdr:row>0</xdr:row>
      <xdr:rowOff>77585</xdr:rowOff>
    </xdr:from>
    <xdr:to>
      <xdr:col>5</xdr:col>
      <xdr:colOff>476023</xdr:colOff>
      <xdr:row>0</xdr:row>
      <xdr:rowOff>594588</xdr:rowOff>
    </xdr:to>
    <xdr:sp macro="" textlink="">
      <xdr:nvSpPr>
        <xdr:cNvPr id="6" name="Flèche : chevron 5">
          <a:hlinkClick xmlns:r="http://schemas.openxmlformats.org/officeDocument/2006/relationships" r:id="rId3"/>
          <a:extLst>
            <a:ext uri="{FF2B5EF4-FFF2-40B4-BE49-F238E27FC236}">
              <a16:creationId xmlns:a16="http://schemas.microsoft.com/office/drawing/2014/main" id="{FA7F5235-3318-41B4-85CA-C34405DEB128}"/>
            </a:ext>
          </a:extLst>
        </xdr:cNvPr>
        <xdr:cNvSpPr/>
      </xdr:nvSpPr>
      <xdr:spPr>
        <a:xfrm>
          <a:off x="7623179" y="77585"/>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Nièvre (58)</a:t>
          </a:r>
          <a:r>
            <a:rPr lang="fr-FR" sz="900">
              <a:solidFill>
                <a:schemeClr val="tx1"/>
              </a:solidFill>
            </a:rPr>
            <a:t> </a:t>
          </a:r>
        </a:p>
      </xdr:txBody>
    </xdr:sp>
    <xdr:clientData/>
  </xdr:twoCellAnchor>
  <xdr:twoCellAnchor>
    <xdr:from>
      <xdr:col>2</xdr:col>
      <xdr:colOff>1035919</xdr:colOff>
      <xdr:row>0</xdr:row>
      <xdr:rowOff>77585</xdr:rowOff>
    </xdr:from>
    <xdr:to>
      <xdr:col>3</xdr:col>
      <xdr:colOff>561112</xdr:colOff>
      <xdr:row>0</xdr:row>
      <xdr:rowOff>594588</xdr:rowOff>
    </xdr:to>
    <xdr:sp macro="" textlink="">
      <xdr:nvSpPr>
        <xdr:cNvPr id="7" name="Flèche : chevron 6">
          <a:hlinkClick xmlns:r="http://schemas.openxmlformats.org/officeDocument/2006/relationships" r:id="rId4"/>
          <a:extLst>
            <a:ext uri="{FF2B5EF4-FFF2-40B4-BE49-F238E27FC236}">
              <a16:creationId xmlns:a16="http://schemas.microsoft.com/office/drawing/2014/main" id="{D59E1A9C-0943-40A8-BB22-AEDC0D47B0F0}"/>
            </a:ext>
          </a:extLst>
        </xdr:cNvPr>
        <xdr:cNvSpPr/>
      </xdr:nvSpPr>
      <xdr:spPr>
        <a:xfrm>
          <a:off x="4604850" y="77585"/>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effectLst/>
              <a:latin typeface="+mn-lt"/>
              <a:ea typeface="+mn-ea"/>
              <a:cs typeface="+mn-cs"/>
            </a:rPr>
            <a:t>Doubs (25)</a:t>
          </a:r>
          <a:endParaRPr lang="fr-FR" sz="900">
            <a:solidFill>
              <a:schemeClr val="tx1"/>
            </a:solidFill>
            <a:effectLst/>
          </a:endParaRPr>
        </a:p>
      </xdr:txBody>
    </xdr:sp>
    <xdr:clientData/>
  </xdr:twoCellAnchor>
  <xdr:twoCellAnchor>
    <xdr:from>
      <xdr:col>5</xdr:col>
      <xdr:colOff>340183</xdr:colOff>
      <xdr:row>0</xdr:row>
      <xdr:rowOff>77585</xdr:rowOff>
    </xdr:from>
    <xdr:to>
      <xdr:col>6</xdr:col>
      <xdr:colOff>840735</xdr:colOff>
      <xdr:row>0</xdr:row>
      <xdr:rowOff>594588</xdr:rowOff>
    </xdr:to>
    <xdr:sp macro="" textlink="">
      <xdr:nvSpPr>
        <xdr:cNvPr id="8" name="Flèche : chevron 7">
          <a:hlinkClick xmlns:r="http://schemas.openxmlformats.org/officeDocument/2006/relationships" r:id="rId5"/>
          <a:extLst>
            <a:ext uri="{FF2B5EF4-FFF2-40B4-BE49-F238E27FC236}">
              <a16:creationId xmlns:a16="http://schemas.microsoft.com/office/drawing/2014/main" id="{E5D8A4E7-2E8C-4614-B397-A5E65E8EC337}"/>
            </a:ext>
          </a:extLst>
        </xdr:cNvPr>
        <xdr:cNvSpPr/>
      </xdr:nvSpPr>
      <xdr:spPr>
        <a:xfrm>
          <a:off x="9107339" y="77585"/>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Haute-Saône (70)</a:t>
          </a:r>
        </a:p>
      </xdr:txBody>
    </xdr:sp>
    <xdr:clientData/>
  </xdr:twoCellAnchor>
  <xdr:twoCellAnchor>
    <xdr:from>
      <xdr:col>2</xdr:col>
      <xdr:colOff>0</xdr:colOff>
      <xdr:row>0</xdr:row>
      <xdr:rowOff>77585</xdr:rowOff>
    </xdr:from>
    <xdr:to>
      <xdr:col>2</xdr:col>
      <xdr:colOff>1117632</xdr:colOff>
      <xdr:row>0</xdr:row>
      <xdr:rowOff>594588</xdr:rowOff>
    </xdr:to>
    <xdr:sp macro="" textlink="">
      <xdr:nvSpPr>
        <xdr:cNvPr id="9" name="Flèche : chevron 8">
          <a:hlinkClick xmlns:r="http://schemas.openxmlformats.org/officeDocument/2006/relationships" r:id="rId6"/>
          <a:extLst>
            <a:ext uri="{FF2B5EF4-FFF2-40B4-BE49-F238E27FC236}">
              <a16:creationId xmlns:a16="http://schemas.microsoft.com/office/drawing/2014/main" id="{AC8EF13F-3C20-42F5-A7BC-5658FBD4865D}"/>
            </a:ext>
          </a:extLst>
        </xdr:cNvPr>
        <xdr:cNvSpPr/>
      </xdr:nvSpPr>
      <xdr:spPr>
        <a:xfrm>
          <a:off x="3066563" y="77585"/>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0">
              <a:solidFill>
                <a:schemeClr val="tx1"/>
              </a:solidFill>
            </a:rPr>
            <a:t>Côte-d'Or (21)</a:t>
          </a:r>
        </a:p>
      </xdr:txBody>
    </xdr:sp>
    <xdr:clientData/>
  </xdr:twoCellAnchor>
  <xdr:twoCellAnchor>
    <xdr:from>
      <xdr:col>6</xdr:col>
      <xdr:colOff>711021</xdr:colOff>
      <xdr:row>0</xdr:row>
      <xdr:rowOff>77585</xdr:rowOff>
    </xdr:from>
    <xdr:to>
      <xdr:col>7</xdr:col>
      <xdr:colOff>901232</xdr:colOff>
      <xdr:row>0</xdr:row>
      <xdr:rowOff>594588</xdr:rowOff>
    </xdr:to>
    <xdr:sp macro="" textlink="">
      <xdr:nvSpPr>
        <xdr:cNvPr id="10" name="Flèche : chevron 9">
          <a:hlinkClick xmlns:r="http://schemas.openxmlformats.org/officeDocument/2006/relationships" r:id="rId7"/>
          <a:extLst>
            <a:ext uri="{FF2B5EF4-FFF2-40B4-BE49-F238E27FC236}">
              <a16:creationId xmlns:a16="http://schemas.microsoft.com/office/drawing/2014/main" id="{1A983417-4178-4AF0-9418-9304763509B6}"/>
            </a:ext>
          </a:extLst>
        </xdr:cNvPr>
        <xdr:cNvSpPr/>
      </xdr:nvSpPr>
      <xdr:spPr>
        <a:xfrm>
          <a:off x="10597625" y="77585"/>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Saône-et-Loire (71)</a:t>
          </a:r>
        </a:p>
      </xdr:txBody>
    </xdr:sp>
    <xdr:clientData/>
  </xdr:twoCellAnchor>
  <xdr:twoCellAnchor>
    <xdr:from>
      <xdr:col>7</xdr:col>
      <xdr:colOff>756909</xdr:colOff>
      <xdr:row>0</xdr:row>
      <xdr:rowOff>77585</xdr:rowOff>
    </xdr:from>
    <xdr:to>
      <xdr:col>9</xdr:col>
      <xdr:colOff>93680</xdr:colOff>
      <xdr:row>0</xdr:row>
      <xdr:rowOff>594588</xdr:rowOff>
    </xdr:to>
    <xdr:sp macro="" textlink="">
      <xdr:nvSpPr>
        <xdr:cNvPr id="11" name="Flèche : chevron 10">
          <a:hlinkClick xmlns:r="http://schemas.openxmlformats.org/officeDocument/2006/relationships" r:id="rId8"/>
          <a:extLst>
            <a:ext uri="{FF2B5EF4-FFF2-40B4-BE49-F238E27FC236}">
              <a16:creationId xmlns:a16="http://schemas.microsoft.com/office/drawing/2014/main" id="{E423D065-E0BF-4A36-8104-6B36FBD53044}"/>
            </a:ext>
          </a:extLst>
        </xdr:cNvPr>
        <xdr:cNvSpPr/>
      </xdr:nvSpPr>
      <xdr:spPr>
        <a:xfrm>
          <a:off x="12073302" y="77585"/>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Yonne (89)</a:t>
          </a:r>
        </a:p>
      </xdr:txBody>
    </xdr:sp>
    <xdr:clientData/>
  </xdr:twoCellAnchor>
  <xdr:twoCellAnchor>
    <xdr:from>
      <xdr:col>8</xdr:col>
      <xdr:colOff>996541</xdr:colOff>
      <xdr:row>0</xdr:row>
      <xdr:rowOff>77585</xdr:rowOff>
    </xdr:from>
    <xdr:to>
      <xdr:col>9</xdr:col>
      <xdr:colOff>1574679</xdr:colOff>
      <xdr:row>0</xdr:row>
      <xdr:rowOff>594588</xdr:rowOff>
    </xdr:to>
    <xdr:sp macro="" textlink="">
      <xdr:nvSpPr>
        <xdr:cNvPr id="12" name="Flèche : chevron 11">
          <a:hlinkClick xmlns:r="http://schemas.openxmlformats.org/officeDocument/2006/relationships" r:id="rId9"/>
          <a:extLst>
            <a:ext uri="{FF2B5EF4-FFF2-40B4-BE49-F238E27FC236}">
              <a16:creationId xmlns:a16="http://schemas.microsoft.com/office/drawing/2014/main" id="{4A0AB7FE-AB44-4832-BE6A-4733F5E73093}"/>
            </a:ext>
          </a:extLst>
        </xdr:cNvPr>
        <xdr:cNvSpPr/>
      </xdr:nvSpPr>
      <xdr:spPr>
        <a:xfrm>
          <a:off x="13554301" y="77585"/>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Territoire</a:t>
          </a:r>
          <a:r>
            <a:rPr lang="fr-FR" sz="900" b="1" baseline="0">
              <a:solidFill>
                <a:schemeClr val="tx1"/>
              </a:solidFill>
            </a:rPr>
            <a:t> de Belfort (90)</a:t>
          </a:r>
          <a:endParaRPr lang="fr-FR" sz="900" b="1">
            <a:solidFill>
              <a:schemeClr val="tx1"/>
            </a:solidFill>
          </a:endParaRPr>
        </a:p>
      </xdr:txBody>
    </xdr:sp>
    <xdr:clientData/>
  </xdr:twoCellAnchor>
  <xdr:twoCellAnchor>
    <xdr:from>
      <xdr:col>9</xdr:col>
      <xdr:colOff>1441549</xdr:colOff>
      <xdr:row>0</xdr:row>
      <xdr:rowOff>77585</xdr:rowOff>
    </xdr:from>
    <xdr:to>
      <xdr:col>10</xdr:col>
      <xdr:colOff>1144080</xdr:colOff>
      <xdr:row>0</xdr:row>
      <xdr:rowOff>594588</xdr:rowOff>
    </xdr:to>
    <xdr:sp macro="" textlink="">
      <xdr:nvSpPr>
        <xdr:cNvPr id="13" name="Flèche : chevron 12">
          <a:hlinkClick xmlns:r="http://schemas.openxmlformats.org/officeDocument/2006/relationships" r:id="rId10"/>
          <a:extLst>
            <a:ext uri="{FF2B5EF4-FFF2-40B4-BE49-F238E27FC236}">
              <a16:creationId xmlns:a16="http://schemas.microsoft.com/office/drawing/2014/main" id="{D8FE4D0B-207F-4F29-AB5A-1D0F290E2CC1}"/>
            </a:ext>
          </a:extLst>
        </xdr:cNvPr>
        <xdr:cNvSpPr/>
      </xdr:nvSpPr>
      <xdr:spPr>
        <a:xfrm>
          <a:off x="15041171" y="77585"/>
          <a:ext cx="1620000" cy="517003"/>
        </a:xfrm>
        <a:prstGeom prst="chevron">
          <a:avLst/>
        </a:prstGeom>
        <a:solidFill>
          <a:srgbClr val="B887D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Intervention</a:t>
          </a:r>
          <a:r>
            <a:rPr lang="fr-FR" sz="900" b="1" baseline="0">
              <a:solidFill>
                <a:schemeClr val="tx1"/>
              </a:solidFill>
            </a:rPr>
            <a:t> en Nord-Franche-Comté</a:t>
          </a:r>
          <a:endParaRPr lang="fr-FR" sz="900" b="1">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1288868</xdr:colOff>
      <xdr:row>0</xdr:row>
      <xdr:rowOff>0</xdr:rowOff>
    </xdr:from>
    <xdr:to>
      <xdr:col>11</xdr:col>
      <xdr:colOff>365760</xdr:colOff>
      <xdr:row>0</xdr:row>
      <xdr:rowOff>722811</xdr:rowOff>
    </xdr:to>
    <xdr:sp macro="" textlink="">
      <xdr:nvSpPr>
        <xdr:cNvPr id="2" name="Flèche : pentagone 1">
          <a:extLst>
            <a:ext uri="{FF2B5EF4-FFF2-40B4-BE49-F238E27FC236}">
              <a16:creationId xmlns:a16="http://schemas.microsoft.com/office/drawing/2014/main" id="{11456EED-62FA-43CF-9997-5640759C0FE8}"/>
            </a:ext>
          </a:extLst>
        </xdr:cNvPr>
        <xdr:cNvSpPr/>
      </xdr:nvSpPr>
      <xdr:spPr>
        <a:xfrm>
          <a:off x="15065828" y="0"/>
          <a:ext cx="418012" cy="722811"/>
        </a:xfrm>
        <a:prstGeom prst="homePlate">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107579</xdr:colOff>
      <xdr:row>0</xdr:row>
      <xdr:rowOff>108089</xdr:rowOff>
    </xdr:from>
    <xdr:to>
      <xdr:col>0</xdr:col>
      <xdr:colOff>925159</xdr:colOff>
      <xdr:row>0</xdr:row>
      <xdr:rowOff>618308</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E49D2CD8-2962-42C2-9127-D92FF6DCC7C4}"/>
            </a:ext>
          </a:extLst>
        </xdr:cNvPr>
        <xdr:cNvSpPr/>
      </xdr:nvSpPr>
      <xdr:spPr>
        <a:xfrm>
          <a:off x="107579" y="108089"/>
          <a:ext cx="817580" cy="51021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t>Retour au sommaire </a:t>
          </a:r>
        </a:p>
      </xdr:txBody>
    </xdr:sp>
    <xdr:clientData/>
  </xdr:twoCellAnchor>
  <xdr:twoCellAnchor>
    <xdr:from>
      <xdr:col>3</xdr:col>
      <xdr:colOff>6463</xdr:colOff>
      <xdr:row>0</xdr:row>
      <xdr:rowOff>106878</xdr:rowOff>
    </xdr:from>
    <xdr:to>
      <xdr:col>4</xdr:col>
      <xdr:colOff>488200</xdr:colOff>
      <xdr:row>0</xdr:row>
      <xdr:rowOff>623880</xdr:rowOff>
    </xdr:to>
    <xdr:sp macro="" textlink="">
      <xdr:nvSpPr>
        <xdr:cNvPr id="12" name="Flèche : pentagone 11">
          <a:hlinkClick xmlns:r="http://schemas.openxmlformats.org/officeDocument/2006/relationships" r:id="rId2"/>
          <a:extLst>
            <a:ext uri="{FF2B5EF4-FFF2-40B4-BE49-F238E27FC236}">
              <a16:creationId xmlns:a16="http://schemas.microsoft.com/office/drawing/2014/main" id="{FFF4F6E3-8D91-4639-895B-6F573DD7D113}"/>
            </a:ext>
          </a:extLst>
        </xdr:cNvPr>
        <xdr:cNvSpPr/>
      </xdr:nvSpPr>
      <xdr:spPr>
        <a:xfrm>
          <a:off x="2788456" y="106878"/>
          <a:ext cx="1867191" cy="517002"/>
        </a:xfrm>
        <a:prstGeom prst="homePlate">
          <a:avLst/>
        </a:prstGeom>
        <a:solidFill>
          <a:schemeClr val="accent5">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50" b="1"/>
            <a:t>Toutes les structures accessibles sur accès</a:t>
          </a:r>
          <a:r>
            <a:rPr lang="fr-FR" sz="1050" b="1" baseline="0"/>
            <a:t> direct</a:t>
          </a:r>
          <a:endParaRPr lang="fr-FR" sz="105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1605280</xdr:colOff>
      <xdr:row>0</xdr:row>
      <xdr:rowOff>0</xdr:rowOff>
    </xdr:from>
    <xdr:to>
      <xdr:col>13</xdr:col>
      <xdr:colOff>235416</xdr:colOff>
      <xdr:row>0</xdr:row>
      <xdr:rowOff>722811</xdr:rowOff>
    </xdr:to>
    <xdr:sp macro="" textlink="">
      <xdr:nvSpPr>
        <xdr:cNvPr id="2" name="Flèche : pentagone 1">
          <a:extLst>
            <a:ext uri="{FF2B5EF4-FFF2-40B4-BE49-F238E27FC236}">
              <a16:creationId xmlns:a16="http://schemas.microsoft.com/office/drawing/2014/main" id="{8D5592CF-F7DC-4909-91C9-CCD2B4F220BE}"/>
            </a:ext>
          </a:extLst>
        </xdr:cNvPr>
        <xdr:cNvSpPr/>
      </xdr:nvSpPr>
      <xdr:spPr>
        <a:xfrm>
          <a:off x="20076160" y="0"/>
          <a:ext cx="666200" cy="722811"/>
        </a:xfrm>
        <a:prstGeom prst="homePlate">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107579</xdr:colOff>
      <xdr:row>0</xdr:row>
      <xdr:rowOff>108089</xdr:rowOff>
    </xdr:from>
    <xdr:to>
      <xdr:col>0</xdr:col>
      <xdr:colOff>925159</xdr:colOff>
      <xdr:row>0</xdr:row>
      <xdr:rowOff>618308</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FD75A6BD-165A-48DD-B78E-B2981E9088DA}"/>
            </a:ext>
          </a:extLst>
        </xdr:cNvPr>
        <xdr:cNvSpPr/>
      </xdr:nvSpPr>
      <xdr:spPr>
        <a:xfrm>
          <a:off x="107579" y="108089"/>
          <a:ext cx="817580" cy="51021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t>Retour au sommaire </a:t>
          </a:r>
        </a:p>
      </xdr:txBody>
    </xdr:sp>
    <xdr:clientData/>
  </xdr:twoCellAnchor>
  <xdr:twoCellAnchor>
    <xdr:from>
      <xdr:col>1</xdr:col>
      <xdr:colOff>101600</xdr:colOff>
      <xdr:row>0</xdr:row>
      <xdr:rowOff>132080</xdr:rowOff>
    </xdr:from>
    <xdr:to>
      <xdr:col>2</xdr:col>
      <xdr:colOff>1355840</xdr:colOff>
      <xdr:row>0</xdr:row>
      <xdr:rowOff>649082</xdr:rowOff>
    </xdr:to>
    <xdr:sp macro="" textlink="">
      <xdr:nvSpPr>
        <xdr:cNvPr id="52" name="Flèche : pentagone 51">
          <a:hlinkClick xmlns:r="http://schemas.openxmlformats.org/officeDocument/2006/relationships" r:id="rId2"/>
          <a:extLst>
            <a:ext uri="{FF2B5EF4-FFF2-40B4-BE49-F238E27FC236}">
              <a16:creationId xmlns:a16="http://schemas.microsoft.com/office/drawing/2014/main" id="{8AF9E87B-2C58-4611-AFC2-AAA18FD221D5}"/>
            </a:ext>
          </a:extLst>
        </xdr:cNvPr>
        <xdr:cNvSpPr/>
      </xdr:nvSpPr>
      <xdr:spPr>
        <a:xfrm>
          <a:off x="1320800" y="132080"/>
          <a:ext cx="1620000" cy="517002"/>
        </a:xfrm>
        <a:prstGeom prst="homePlate">
          <a:avLst/>
        </a:prstGeom>
        <a:solidFill>
          <a:schemeClr val="accent6"/>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a:solidFill>
                <a:schemeClr val="tx1"/>
              </a:solidFill>
            </a:rPr>
            <a:t>Toutes les structures de</a:t>
          </a:r>
          <a:r>
            <a:rPr lang="fr-FR" sz="1100" b="1" baseline="0">
              <a:solidFill>
                <a:schemeClr val="tx1"/>
              </a:solidFill>
            </a:rPr>
            <a:t> la région</a:t>
          </a:r>
          <a:endParaRPr lang="fr-FR" sz="1100" b="1">
            <a:solidFill>
              <a:schemeClr val="tx1"/>
            </a:solidFill>
          </a:endParaRPr>
        </a:p>
      </xdr:txBody>
    </xdr:sp>
    <xdr:clientData/>
  </xdr:twoCellAnchor>
  <xdr:twoCellAnchor>
    <xdr:from>
      <xdr:col>4</xdr:col>
      <xdr:colOff>501267</xdr:colOff>
      <xdr:row>0</xdr:row>
      <xdr:rowOff>132080</xdr:rowOff>
    </xdr:from>
    <xdr:to>
      <xdr:col>5</xdr:col>
      <xdr:colOff>1095107</xdr:colOff>
      <xdr:row>0</xdr:row>
      <xdr:rowOff>649083</xdr:rowOff>
    </xdr:to>
    <xdr:sp macro="" textlink="">
      <xdr:nvSpPr>
        <xdr:cNvPr id="53" name="Flèche : chevron 52">
          <a:hlinkClick xmlns:r="http://schemas.openxmlformats.org/officeDocument/2006/relationships" r:id="rId3"/>
          <a:extLst>
            <a:ext uri="{FF2B5EF4-FFF2-40B4-BE49-F238E27FC236}">
              <a16:creationId xmlns:a16="http://schemas.microsoft.com/office/drawing/2014/main" id="{B9E755D4-46F5-42DE-AFEC-4B0CF35F5D55}"/>
            </a:ext>
          </a:extLst>
        </xdr:cNvPr>
        <xdr:cNvSpPr/>
      </xdr:nvSpPr>
      <xdr:spPr>
        <a:xfrm>
          <a:off x="5794627" y="13208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Jura (39)</a:t>
          </a:r>
        </a:p>
      </xdr:txBody>
    </xdr:sp>
    <xdr:clientData/>
  </xdr:twoCellAnchor>
  <xdr:twoCellAnchor>
    <xdr:from>
      <xdr:col>5</xdr:col>
      <xdr:colOff>1028415</xdr:colOff>
      <xdr:row>0</xdr:row>
      <xdr:rowOff>132080</xdr:rowOff>
    </xdr:from>
    <xdr:to>
      <xdr:col>6</xdr:col>
      <xdr:colOff>616415</xdr:colOff>
      <xdr:row>0</xdr:row>
      <xdr:rowOff>649083</xdr:rowOff>
    </xdr:to>
    <xdr:sp macro="" textlink="">
      <xdr:nvSpPr>
        <xdr:cNvPr id="54" name="Flèche : chevron 53">
          <a:hlinkClick xmlns:r="http://schemas.openxmlformats.org/officeDocument/2006/relationships" r:id="rId4"/>
          <a:extLst>
            <a:ext uri="{FF2B5EF4-FFF2-40B4-BE49-F238E27FC236}">
              <a16:creationId xmlns:a16="http://schemas.microsoft.com/office/drawing/2014/main" id="{57049DD4-AFCD-4FCC-AAF6-D5955739E79A}"/>
            </a:ext>
          </a:extLst>
        </xdr:cNvPr>
        <xdr:cNvSpPr/>
      </xdr:nvSpPr>
      <xdr:spPr>
        <a:xfrm>
          <a:off x="7347935" y="13208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Nièvre (58)</a:t>
          </a:r>
          <a:r>
            <a:rPr lang="fr-FR" sz="900">
              <a:solidFill>
                <a:schemeClr val="tx1"/>
              </a:solidFill>
            </a:rPr>
            <a:t> </a:t>
          </a:r>
        </a:p>
      </xdr:txBody>
    </xdr:sp>
    <xdr:clientData/>
  </xdr:twoCellAnchor>
  <xdr:twoCellAnchor>
    <xdr:from>
      <xdr:col>3</xdr:col>
      <xdr:colOff>661846</xdr:colOff>
      <xdr:row>0</xdr:row>
      <xdr:rowOff>132080</xdr:rowOff>
    </xdr:from>
    <xdr:to>
      <xdr:col>4</xdr:col>
      <xdr:colOff>656246</xdr:colOff>
      <xdr:row>0</xdr:row>
      <xdr:rowOff>649083</xdr:rowOff>
    </xdr:to>
    <xdr:sp macro="" textlink="">
      <xdr:nvSpPr>
        <xdr:cNvPr id="55" name="Flèche : chevron 54">
          <a:hlinkClick xmlns:r="http://schemas.openxmlformats.org/officeDocument/2006/relationships" r:id="rId5"/>
          <a:extLst>
            <a:ext uri="{FF2B5EF4-FFF2-40B4-BE49-F238E27FC236}">
              <a16:creationId xmlns:a16="http://schemas.microsoft.com/office/drawing/2014/main" id="{DFB138F3-0D8B-4626-96B7-8E7E00512F44}"/>
            </a:ext>
          </a:extLst>
        </xdr:cNvPr>
        <xdr:cNvSpPr/>
      </xdr:nvSpPr>
      <xdr:spPr>
        <a:xfrm>
          <a:off x="4329606" y="13208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effectLst/>
              <a:latin typeface="+mn-lt"/>
              <a:ea typeface="+mn-ea"/>
              <a:cs typeface="+mn-cs"/>
            </a:rPr>
            <a:t>Doubs (25)</a:t>
          </a:r>
          <a:endParaRPr lang="fr-FR" sz="900">
            <a:solidFill>
              <a:schemeClr val="tx1"/>
            </a:solidFill>
            <a:effectLst/>
          </a:endParaRPr>
        </a:p>
      </xdr:txBody>
    </xdr:sp>
    <xdr:clientData/>
  </xdr:twoCellAnchor>
  <xdr:twoCellAnchor>
    <xdr:from>
      <xdr:col>6</xdr:col>
      <xdr:colOff>480575</xdr:colOff>
      <xdr:row>0</xdr:row>
      <xdr:rowOff>132080</xdr:rowOff>
    </xdr:from>
    <xdr:to>
      <xdr:col>7</xdr:col>
      <xdr:colOff>383535</xdr:colOff>
      <xdr:row>0</xdr:row>
      <xdr:rowOff>649083</xdr:rowOff>
    </xdr:to>
    <xdr:sp macro="" textlink="">
      <xdr:nvSpPr>
        <xdr:cNvPr id="56" name="Flèche : chevron 55">
          <a:hlinkClick xmlns:r="http://schemas.openxmlformats.org/officeDocument/2006/relationships" r:id="rId6"/>
          <a:extLst>
            <a:ext uri="{FF2B5EF4-FFF2-40B4-BE49-F238E27FC236}">
              <a16:creationId xmlns:a16="http://schemas.microsoft.com/office/drawing/2014/main" id="{FDAA03D4-9469-45A0-80E5-D633352180AB}"/>
            </a:ext>
          </a:extLst>
        </xdr:cNvPr>
        <xdr:cNvSpPr/>
      </xdr:nvSpPr>
      <xdr:spPr>
        <a:xfrm>
          <a:off x="8832095" y="13208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Haute-Saône (70)</a:t>
          </a:r>
        </a:p>
      </xdr:txBody>
    </xdr:sp>
    <xdr:clientData/>
  </xdr:twoCellAnchor>
  <xdr:twoCellAnchor>
    <xdr:from>
      <xdr:col>2</xdr:col>
      <xdr:colOff>1206359</xdr:colOff>
      <xdr:row>0</xdr:row>
      <xdr:rowOff>132080</xdr:rowOff>
    </xdr:from>
    <xdr:to>
      <xdr:col>3</xdr:col>
      <xdr:colOff>743559</xdr:colOff>
      <xdr:row>0</xdr:row>
      <xdr:rowOff>649083</xdr:rowOff>
    </xdr:to>
    <xdr:sp macro="" textlink="">
      <xdr:nvSpPr>
        <xdr:cNvPr id="57" name="Flèche : chevron 56">
          <a:hlinkClick xmlns:r="http://schemas.openxmlformats.org/officeDocument/2006/relationships" r:id="rId7"/>
          <a:extLst>
            <a:ext uri="{FF2B5EF4-FFF2-40B4-BE49-F238E27FC236}">
              <a16:creationId xmlns:a16="http://schemas.microsoft.com/office/drawing/2014/main" id="{038E26A3-05EC-4E48-86B0-E5F7B3A48514}"/>
            </a:ext>
          </a:extLst>
        </xdr:cNvPr>
        <xdr:cNvSpPr/>
      </xdr:nvSpPr>
      <xdr:spPr>
        <a:xfrm>
          <a:off x="2791319" y="13208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Côte-d'Or (21)</a:t>
          </a:r>
          <a:endParaRPr lang="fr-FR" sz="900">
            <a:solidFill>
              <a:schemeClr val="tx1"/>
            </a:solidFill>
          </a:endParaRPr>
        </a:p>
      </xdr:txBody>
    </xdr:sp>
    <xdr:clientData/>
  </xdr:twoCellAnchor>
  <xdr:twoCellAnchor>
    <xdr:from>
      <xdr:col>7</xdr:col>
      <xdr:colOff>253821</xdr:colOff>
      <xdr:row>0</xdr:row>
      <xdr:rowOff>132080</xdr:rowOff>
    </xdr:from>
    <xdr:to>
      <xdr:col>7</xdr:col>
      <xdr:colOff>1873821</xdr:colOff>
      <xdr:row>0</xdr:row>
      <xdr:rowOff>649083</xdr:rowOff>
    </xdr:to>
    <xdr:sp macro="" textlink="">
      <xdr:nvSpPr>
        <xdr:cNvPr id="58" name="Flèche : chevron 57">
          <a:hlinkClick xmlns:r="http://schemas.openxmlformats.org/officeDocument/2006/relationships" r:id="rId8"/>
          <a:extLst>
            <a:ext uri="{FF2B5EF4-FFF2-40B4-BE49-F238E27FC236}">
              <a16:creationId xmlns:a16="http://schemas.microsoft.com/office/drawing/2014/main" id="{3391D964-E7E0-4FEC-A20E-F75EA7C5FE49}"/>
            </a:ext>
          </a:extLst>
        </xdr:cNvPr>
        <xdr:cNvSpPr/>
      </xdr:nvSpPr>
      <xdr:spPr>
        <a:xfrm>
          <a:off x="10322381" y="13208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Saône-et-Loire (71)</a:t>
          </a:r>
        </a:p>
      </xdr:txBody>
    </xdr:sp>
    <xdr:clientData/>
  </xdr:twoCellAnchor>
  <xdr:twoCellAnchor>
    <xdr:from>
      <xdr:col>7</xdr:col>
      <xdr:colOff>1729498</xdr:colOff>
      <xdr:row>0</xdr:row>
      <xdr:rowOff>132080</xdr:rowOff>
    </xdr:from>
    <xdr:to>
      <xdr:col>8</xdr:col>
      <xdr:colOff>1226058</xdr:colOff>
      <xdr:row>0</xdr:row>
      <xdr:rowOff>649083</xdr:rowOff>
    </xdr:to>
    <xdr:sp macro="" textlink="">
      <xdr:nvSpPr>
        <xdr:cNvPr id="59" name="Flèche : chevron 58">
          <a:hlinkClick xmlns:r="http://schemas.openxmlformats.org/officeDocument/2006/relationships" r:id="rId9"/>
          <a:extLst>
            <a:ext uri="{FF2B5EF4-FFF2-40B4-BE49-F238E27FC236}">
              <a16:creationId xmlns:a16="http://schemas.microsoft.com/office/drawing/2014/main" id="{B30DDAD3-C485-45E3-ADF6-9F4BC00AC9B5}"/>
            </a:ext>
          </a:extLst>
        </xdr:cNvPr>
        <xdr:cNvSpPr/>
      </xdr:nvSpPr>
      <xdr:spPr>
        <a:xfrm>
          <a:off x="11798058" y="13208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Yonne (89)</a:t>
          </a:r>
        </a:p>
      </xdr:txBody>
    </xdr:sp>
    <xdr:clientData/>
  </xdr:twoCellAnchor>
  <xdr:twoCellAnchor>
    <xdr:from>
      <xdr:col>8</xdr:col>
      <xdr:colOff>1087057</xdr:colOff>
      <xdr:row>0</xdr:row>
      <xdr:rowOff>132080</xdr:rowOff>
    </xdr:from>
    <xdr:to>
      <xdr:col>10</xdr:col>
      <xdr:colOff>177217</xdr:colOff>
      <xdr:row>0</xdr:row>
      <xdr:rowOff>649083</xdr:rowOff>
    </xdr:to>
    <xdr:sp macro="" textlink="">
      <xdr:nvSpPr>
        <xdr:cNvPr id="60" name="Flèche : chevron 59">
          <a:hlinkClick xmlns:r="http://schemas.openxmlformats.org/officeDocument/2006/relationships" r:id="rId10"/>
          <a:extLst>
            <a:ext uri="{FF2B5EF4-FFF2-40B4-BE49-F238E27FC236}">
              <a16:creationId xmlns:a16="http://schemas.microsoft.com/office/drawing/2014/main" id="{79829474-E31E-430C-9300-BD3DC95D3F75}"/>
            </a:ext>
          </a:extLst>
        </xdr:cNvPr>
        <xdr:cNvSpPr/>
      </xdr:nvSpPr>
      <xdr:spPr>
        <a:xfrm>
          <a:off x="13279057" y="13208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Territoire</a:t>
          </a:r>
          <a:r>
            <a:rPr lang="fr-FR" sz="900" b="1" baseline="0">
              <a:solidFill>
                <a:schemeClr val="tx1"/>
              </a:solidFill>
            </a:rPr>
            <a:t> de Belfort (90)</a:t>
          </a:r>
          <a:endParaRPr lang="fr-FR" sz="900" b="1">
            <a:solidFill>
              <a:schemeClr val="tx1"/>
            </a:solidFill>
          </a:endParaRPr>
        </a:p>
      </xdr:txBody>
    </xdr:sp>
    <xdr:clientData/>
  </xdr:twoCellAnchor>
  <xdr:twoCellAnchor>
    <xdr:from>
      <xdr:col>10</xdr:col>
      <xdr:colOff>44087</xdr:colOff>
      <xdr:row>0</xdr:row>
      <xdr:rowOff>132080</xdr:rowOff>
    </xdr:from>
    <xdr:to>
      <xdr:col>10</xdr:col>
      <xdr:colOff>1664087</xdr:colOff>
      <xdr:row>0</xdr:row>
      <xdr:rowOff>649083</xdr:rowOff>
    </xdr:to>
    <xdr:sp macro="" textlink="">
      <xdr:nvSpPr>
        <xdr:cNvPr id="61" name="Flèche : chevron 60">
          <a:hlinkClick xmlns:r="http://schemas.openxmlformats.org/officeDocument/2006/relationships" r:id="rId11"/>
          <a:extLst>
            <a:ext uri="{FF2B5EF4-FFF2-40B4-BE49-F238E27FC236}">
              <a16:creationId xmlns:a16="http://schemas.microsoft.com/office/drawing/2014/main" id="{BA11EE70-5CEC-4905-9198-3E88118E9CB1}"/>
            </a:ext>
          </a:extLst>
        </xdr:cNvPr>
        <xdr:cNvSpPr/>
      </xdr:nvSpPr>
      <xdr:spPr>
        <a:xfrm>
          <a:off x="14765927" y="13208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Intervention</a:t>
          </a:r>
          <a:r>
            <a:rPr lang="fr-FR" sz="900" b="1" baseline="0">
              <a:solidFill>
                <a:schemeClr val="tx1"/>
              </a:solidFill>
            </a:rPr>
            <a:t> en Nord-Franche-Comté</a:t>
          </a:r>
          <a:endParaRPr lang="fr-FR" sz="9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90055</xdr:colOff>
      <xdr:row>0</xdr:row>
      <xdr:rowOff>126076</xdr:rowOff>
    </xdr:from>
    <xdr:to>
      <xdr:col>0</xdr:col>
      <xdr:colOff>907635</xdr:colOff>
      <xdr:row>0</xdr:row>
      <xdr:rowOff>636295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8ECFECE-08E1-4053-A4D1-6803AD673363}"/>
            </a:ext>
          </a:extLst>
        </xdr:cNvPr>
        <xdr:cNvSpPr/>
      </xdr:nvSpPr>
      <xdr:spPr>
        <a:xfrm>
          <a:off x="90055" y="126076"/>
          <a:ext cx="817580" cy="51021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t>Retour au sommaire </a:t>
          </a:r>
        </a:p>
      </xdr:txBody>
    </xdr:sp>
    <xdr:clientData/>
  </xdr:twoCellAnchor>
  <xdr:twoCellAnchor>
    <xdr:from>
      <xdr:col>9</xdr:col>
      <xdr:colOff>1499524</xdr:colOff>
      <xdr:row>0</xdr:row>
      <xdr:rowOff>0</xdr:rowOff>
    </xdr:from>
    <xdr:to>
      <xdr:col>10</xdr:col>
      <xdr:colOff>216131</xdr:colOff>
      <xdr:row>0</xdr:row>
      <xdr:rowOff>709353</xdr:rowOff>
    </xdr:to>
    <xdr:sp macro="" textlink="">
      <xdr:nvSpPr>
        <xdr:cNvPr id="3" name="Flèche : pentagone 2">
          <a:extLst>
            <a:ext uri="{FF2B5EF4-FFF2-40B4-BE49-F238E27FC236}">
              <a16:creationId xmlns:a16="http://schemas.microsoft.com/office/drawing/2014/main" id="{415CFF4E-D842-4786-819C-96E908BD45B8}"/>
            </a:ext>
          </a:extLst>
        </xdr:cNvPr>
        <xdr:cNvSpPr/>
      </xdr:nvSpPr>
      <xdr:spPr>
        <a:xfrm>
          <a:off x="18324484" y="0"/>
          <a:ext cx="225367" cy="709353"/>
        </a:xfrm>
        <a:prstGeom prst="homePlate">
          <a:avLst/>
        </a:prstGeom>
        <a:solidFill>
          <a:srgbClr val="DCC5ED"/>
        </a:solidFill>
        <a:ln>
          <a:solidFill>
            <a:srgbClr val="DCC5E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0</xdr:colOff>
      <xdr:row>0</xdr:row>
      <xdr:rowOff>99752</xdr:rowOff>
    </xdr:from>
    <xdr:to>
      <xdr:col>2</xdr:col>
      <xdr:colOff>1620000</xdr:colOff>
      <xdr:row>0</xdr:row>
      <xdr:rowOff>616754</xdr:rowOff>
    </xdr:to>
    <xdr:sp macro="" textlink="">
      <xdr:nvSpPr>
        <xdr:cNvPr id="31" name="Flèche : pentagone 30">
          <a:hlinkClick xmlns:r="http://schemas.openxmlformats.org/officeDocument/2006/relationships" r:id="rId2"/>
          <a:extLst>
            <a:ext uri="{FF2B5EF4-FFF2-40B4-BE49-F238E27FC236}">
              <a16:creationId xmlns:a16="http://schemas.microsoft.com/office/drawing/2014/main" id="{11A33011-F2B8-4E68-8FB0-ED6FF94FDF25}"/>
            </a:ext>
          </a:extLst>
        </xdr:cNvPr>
        <xdr:cNvSpPr/>
      </xdr:nvSpPr>
      <xdr:spPr>
        <a:xfrm>
          <a:off x="1584960" y="99752"/>
          <a:ext cx="1620000" cy="517002"/>
        </a:xfrm>
        <a:prstGeom prst="homePlate">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chemeClr val="tx1"/>
              </a:solidFill>
            </a:rPr>
            <a:t>Toutes les structures de</a:t>
          </a:r>
          <a:r>
            <a:rPr lang="fr-FR" sz="1100" b="0" baseline="0">
              <a:solidFill>
                <a:schemeClr val="tx1"/>
              </a:solidFill>
            </a:rPr>
            <a:t> la région</a:t>
          </a:r>
          <a:endParaRPr lang="fr-FR" sz="1100" b="0">
            <a:solidFill>
              <a:schemeClr val="tx1"/>
            </a:solidFill>
          </a:endParaRPr>
        </a:p>
      </xdr:txBody>
    </xdr:sp>
    <xdr:clientData/>
  </xdr:twoCellAnchor>
  <xdr:twoCellAnchor>
    <xdr:from>
      <xdr:col>3</xdr:col>
      <xdr:colOff>2512023</xdr:colOff>
      <xdr:row>0</xdr:row>
      <xdr:rowOff>99752</xdr:rowOff>
    </xdr:from>
    <xdr:to>
      <xdr:col>4</xdr:col>
      <xdr:colOff>1449783</xdr:colOff>
      <xdr:row>0</xdr:row>
      <xdr:rowOff>616755</xdr:rowOff>
    </xdr:to>
    <xdr:sp macro="" textlink="">
      <xdr:nvSpPr>
        <xdr:cNvPr id="32" name="Flèche : chevron 31">
          <a:hlinkClick xmlns:r="http://schemas.openxmlformats.org/officeDocument/2006/relationships" r:id="rId3"/>
          <a:extLst>
            <a:ext uri="{FF2B5EF4-FFF2-40B4-BE49-F238E27FC236}">
              <a16:creationId xmlns:a16="http://schemas.microsoft.com/office/drawing/2014/main" id="{AFDB8E17-561A-4AE5-B396-8FFA0EE63F96}"/>
            </a:ext>
          </a:extLst>
        </xdr:cNvPr>
        <xdr:cNvSpPr/>
      </xdr:nvSpPr>
      <xdr:spPr>
        <a:xfrm>
          <a:off x="6058787" y="99752"/>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Jura (39)</a:t>
          </a:r>
        </a:p>
      </xdr:txBody>
    </xdr:sp>
    <xdr:clientData/>
  </xdr:twoCellAnchor>
  <xdr:twoCellAnchor>
    <xdr:from>
      <xdr:col>4</xdr:col>
      <xdr:colOff>1383091</xdr:colOff>
      <xdr:row>0</xdr:row>
      <xdr:rowOff>99752</xdr:rowOff>
    </xdr:from>
    <xdr:to>
      <xdr:col>5</xdr:col>
      <xdr:colOff>1229710</xdr:colOff>
      <xdr:row>0</xdr:row>
      <xdr:rowOff>616755</xdr:rowOff>
    </xdr:to>
    <xdr:sp macro="" textlink="">
      <xdr:nvSpPr>
        <xdr:cNvPr id="33" name="Flèche : chevron 32">
          <a:hlinkClick xmlns:r="http://schemas.openxmlformats.org/officeDocument/2006/relationships" r:id="rId4"/>
          <a:extLst>
            <a:ext uri="{FF2B5EF4-FFF2-40B4-BE49-F238E27FC236}">
              <a16:creationId xmlns:a16="http://schemas.microsoft.com/office/drawing/2014/main" id="{94762CC5-EE3A-4DB7-BB34-EBBA88F52242}"/>
            </a:ext>
          </a:extLst>
        </xdr:cNvPr>
        <xdr:cNvSpPr/>
      </xdr:nvSpPr>
      <xdr:spPr>
        <a:xfrm>
          <a:off x="7612095" y="99752"/>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Nièvre (58)</a:t>
          </a:r>
          <a:r>
            <a:rPr lang="fr-FR" sz="900">
              <a:solidFill>
                <a:schemeClr val="tx1"/>
              </a:solidFill>
            </a:rPr>
            <a:t> </a:t>
          </a:r>
        </a:p>
      </xdr:txBody>
    </xdr:sp>
    <xdr:clientData/>
  </xdr:twoCellAnchor>
  <xdr:twoCellAnchor>
    <xdr:from>
      <xdr:col>3</xdr:col>
      <xdr:colOff>1047002</xdr:colOff>
      <xdr:row>0</xdr:row>
      <xdr:rowOff>99752</xdr:rowOff>
    </xdr:from>
    <xdr:to>
      <xdr:col>3</xdr:col>
      <xdr:colOff>2667002</xdr:colOff>
      <xdr:row>0</xdr:row>
      <xdr:rowOff>616755</xdr:rowOff>
    </xdr:to>
    <xdr:sp macro="" textlink="">
      <xdr:nvSpPr>
        <xdr:cNvPr id="34" name="Flèche : chevron 33">
          <a:hlinkClick xmlns:r="http://schemas.openxmlformats.org/officeDocument/2006/relationships" r:id="rId5"/>
          <a:extLst>
            <a:ext uri="{FF2B5EF4-FFF2-40B4-BE49-F238E27FC236}">
              <a16:creationId xmlns:a16="http://schemas.microsoft.com/office/drawing/2014/main" id="{9FF45414-76DF-49E2-89C4-9F560FBF80D2}"/>
            </a:ext>
          </a:extLst>
        </xdr:cNvPr>
        <xdr:cNvSpPr/>
      </xdr:nvSpPr>
      <xdr:spPr>
        <a:xfrm>
          <a:off x="4593766" y="99752"/>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effectLst/>
              <a:latin typeface="+mn-lt"/>
              <a:ea typeface="+mn-ea"/>
              <a:cs typeface="+mn-cs"/>
            </a:rPr>
            <a:t>Doubs (25)</a:t>
          </a:r>
          <a:endParaRPr lang="fr-FR" sz="900">
            <a:solidFill>
              <a:schemeClr val="tx1"/>
            </a:solidFill>
            <a:effectLst/>
          </a:endParaRPr>
        </a:p>
      </xdr:txBody>
    </xdr:sp>
    <xdr:clientData/>
  </xdr:twoCellAnchor>
  <xdr:twoCellAnchor>
    <xdr:from>
      <xdr:col>5</xdr:col>
      <xdr:colOff>1093870</xdr:colOff>
      <xdr:row>0</xdr:row>
      <xdr:rowOff>99752</xdr:rowOff>
    </xdr:from>
    <xdr:to>
      <xdr:col>6</xdr:col>
      <xdr:colOff>1162160</xdr:colOff>
      <xdr:row>0</xdr:row>
      <xdr:rowOff>616755</xdr:rowOff>
    </xdr:to>
    <xdr:sp macro="" textlink="">
      <xdr:nvSpPr>
        <xdr:cNvPr id="35" name="Flèche : chevron 34">
          <a:hlinkClick xmlns:r="http://schemas.openxmlformats.org/officeDocument/2006/relationships" r:id="rId6"/>
          <a:extLst>
            <a:ext uri="{FF2B5EF4-FFF2-40B4-BE49-F238E27FC236}">
              <a16:creationId xmlns:a16="http://schemas.microsoft.com/office/drawing/2014/main" id="{6367DFD9-A1F1-45FF-A970-D991EBF4E450}"/>
            </a:ext>
          </a:extLst>
        </xdr:cNvPr>
        <xdr:cNvSpPr/>
      </xdr:nvSpPr>
      <xdr:spPr>
        <a:xfrm>
          <a:off x="9096255" y="99752"/>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Haute-Saône (70)</a:t>
          </a:r>
        </a:p>
      </xdr:txBody>
    </xdr:sp>
    <xdr:clientData/>
  </xdr:twoCellAnchor>
  <xdr:twoCellAnchor>
    <xdr:from>
      <xdr:col>2</xdr:col>
      <xdr:colOff>1470519</xdr:colOff>
      <xdr:row>0</xdr:row>
      <xdr:rowOff>99752</xdr:rowOff>
    </xdr:from>
    <xdr:to>
      <xdr:col>3</xdr:col>
      <xdr:colOff>1128715</xdr:colOff>
      <xdr:row>0</xdr:row>
      <xdr:rowOff>616755</xdr:rowOff>
    </xdr:to>
    <xdr:sp macro="" textlink="">
      <xdr:nvSpPr>
        <xdr:cNvPr id="36" name="Flèche : chevron 35">
          <a:hlinkClick xmlns:r="http://schemas.openxmlformats.org/officeDocument/2006/relationships" r:id="rId7"/>
          <a:extLst>
            <a:ext uri="{FF2B5EF4-FFF2-40B4-BE49-F238E27FC236}">
              <a16:creationId xmlns:a16="http://schemas.microsoft.com/office/drawing/2014/main" id="{BA902C6C-90E8-467F-9D66-097884EBC875}"/>
            </a:ext>
          </a:extLst>
        </xdr:cNvPr>
        <xdr:cNvSpPr/>
      </xdr:nvSpPr>
      <xdr:spPr>
        <a:xfrm>
          <a:off x="3055479" y="99752"/>
          <a:ext cx="1620000" cy="517003"/>
        </a:xfrm>
        <a:prstGeom prst="chevron">
          <a:avLst/>
        </a:prstGeom>
        <a:solidFill>
          <a:srgbClr val="B887D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0">
              <a:solidFill>
                <a:schemeClr val="tx1"/>
              </a:solidFill>
            </a:rPr>
            <a:t>Côte-d'Or (21)</a:t>
          </a:r>
        </a:p>
      </xdr:txBody>
    </xdr:sp>
    <xdr:clientData/>
  </xdr:twoCellAnchor>
  <xdr:twoCellAnchor>
    <xdr:from>
      <xdr:col>6</xdr:col>
      <xdr:colOff>1032446</xdr:colOff>
      <xdr:row>0</xdr:row>
      <xdr:rowOff>99752</xdr:rowOff>
    </xdr:from>
    <xdr:to>
      <xdr:col>7</xdr:col>
      <xdr:colOff>491137</xdr:colOff>
      <xdr:row>0</xdr:row>
      <xdr:rowOff>616755</xdr:rowOff>
    </xdr:to>
    <xdr:sp macro="" textlink="">
      <xdr:nvSpPr>
        <xdr:cNvPr id="37" name="Flèche : chevron 36">
          <a:hlinkClick xmlns:r="http://schemas.openxmlformats.org/officeDocument/2006/relationships" r:id="rId8"/>
          <a:extLst>
            <a:ext uri="{FF2B5EF4-FFF2-40B4-BE49-F238E27FC236}">
              <a16:creationId xmlns:a16="http://schemas.microsoft.com/office/drawing/2014/main" id="{A5AB140B-5EA4-4DEA-8A35-3C3DEC859E3D}"/>
            </a:ext>
          </a:extLst>
        </xdr:cNvPr>
        <xdr:cNvSpPr/>
      </xdr:nvSpPr>
      <xdr:spPr>
        <a:xfrm>
          <a:off x="10586541" y="99752"/>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Saône-et-Loire (71)</a:t>
          </a:r>
        </a:p>
      </xdr:txBody>
    </xdr:sp>
    <xdr:clientData/>
  </xdr:twoCellAnchor>
  <xdr:twoCellAnchor>
    <xdr:from>
      <xdr:col>7</xdr:col>
      <xdr:colOff>346814</xdr:colOff>
      <xdr:row>0</xdr:row>
      <xdr:rowOff>99752</xdr:rowOff>
    </xdr:from>
    <xdr:to>
      <xdr:col>7</xdr:col>
      <xdr:colOff>1966814</xdr:colOff>
      <xdr:row>0</xdr:row>
      <xdr:rowOff>616755</xdr:rowOff>
    </xdr:to>
    <xdr:sp macro="" textlink="">
      <xdr:nvSpPr>
        <xdr:cNvPr id="38" name="Flèche : chevron 37">
          <a:hlinkClick xmlns:r="http://schemas.openxmlformats.org/officeDocument/2006/relationships" r:id="rId9"/>
          <a:extLst>
            <a:ext uri="{FF2B5EF4-FFF2-40B4-BE49-F238E27FC236}">
              <a16:creationId xmlns:a16="http://schemas.microsoft.com/office/drawing/2014/main" id="{8CA351C0-02EB-49A0-93D5-D624EFADF322}"/>
            </a:ext>
          </a:extLst>
        </xdr:cNvPr>
        <xdr:cNvSpPr/>
      </xdr:nvSpPr>
      <xdr:spPr>
        <a:xfrm>
          <a:off x="12062218" y="99752"/>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Yonne (89)</a:t>
          </a:r>
        </a:p>
      </xdr:txBody>
    </xdr:sp>
    <xdr:clientData/>
  </xdr:twoCellAnchor>
  <xdr:twoCellAnchor>
    <xdr:from>
      <xdr:col>7</xdr:col>
      <xdr:colOff>1827813</xdr:colOff>
      <xdr:row>0</xdr:row>
      <xdr:rowOff>99752</xdr:rowOff>
    </xdr:from>
    <xdr:to>
      <xdr:col>8</xdr:col>
      <xdr:colOff>809908</xdr:colOff>
      <xdr:row>0</xdr:row>
      <xdr:rowOff>616755</xdr:rowOff>
    </xdr:to>
    <xdr:sp macro="" textlink="">
      <xdr:nvSpPr>
        <xdr:cNvPr id="39" name="Flèche : chevron 38">
          <a:hlinkClick xmlns:r="http://schemas.openxmlformats.org/officeDocument/2006/relationships" r:id="rId10"/>
          <a:extLst>
            <a:ext uri="{FF2B5EF4-FFF2-40B4-BE49-F238E27FC236}">
              <a16:creationId xmlns:a16="http://schemas.microsoft.com/office/drawing/2014/main" id="{7B15DD27-711C-4B9B-B930-9BFC864EECFB}"/>
            </a:ext>
          </a:extLst>
        </xdr:cNvPr>
        <xdr:cNvSpPr/>
      </xdr:nvSpPr>
      <xdr:spPr>
        <a:xfrm>
          <a:off x="13543217" y="99752"/>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Territoire</a:t>
          </a:r>
          <a:r>
            <a:rPr lang="fr-FR" sz="900" b="1" baseline="0">
              <a:solidFill>
                <a:schemeClr val="tx1"/>
              </a:solidFill>
            </a:rPr>
            <a:t> de Belfort (90)</a:t>
          </a:r>
          <a:endParaRPr lang="fr-FR" sz="900" b="1">
            <a:solidFill>
              <a:schemeClr val="tx1"/>
            </a:solidFill>
          </a:endParaRPr>
        </a:p>
      </xdr:txBody>
    </xdr:sp>
    <xdr:clientData/>
  </xdr:twoCellAnchor>
  <xdr:twoCellAnchor>
    <xdr:from>
      <xdr:col>8</xdr:col>
      <xdr:colOff>676778</xdr:colOff>
      <xdr:row>0</xdr:row>
      <xdr:rowOff>99752</xdr:rowOff>
    </xdr:from>
    <xdr:to>
      <xdr:col>8</xdr:col>
      <xdr:colOff>2296778</xdr:colOff>
      <xdr:row>0</xdr:row>
      <xdr:rowOff>616755</xdr:rowOff>
    </xdr:to>
    <xdr:sp macro="" textlink="">
      <xdr:nvSpPr>
        <xdr:cNvPr id="40" name="Flèche : chevron 39">
          <a:hlinkClick xmlns:r="http://schemas.openxmlformats.org/officeDocument/2006/relationships" r:id="rId11"/>
          <a:extLst>
            <a:ext uri="{FF2B5EF4-FFF2-40B4-BE49-F238E27FC236}">
              <a16:creationId xmlns:a16="http://schemas.microsoft.com/office/drawing/2014/main" id="{28DCD118-795D-4F05-B93D-1218761CDD7A}"/>
            </a:ext>
          </a:extLst>
        </xdr:cNvPr>
        <xdr:cNvSpPr/>
      </xdr:nvSpPr>
      <xdr:spPr>
        <a:xfrm>
          <a:off x="15030087" y="99752"/>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Intervention</a:t>
          </a:r>
          <a:r>
            <a:rPr lang="fr-FR" sz="900" b="1" baseline="0">
              <a:solidFill>
                <a:schemeClr val="tx1"/>
              </a:solidFill>
            </a:rPr>
            <a:t> en Nord-Franche-Comté</a:t>
          </a:r>
          <a:endParaRPr lang="fr-FR" sz="900" b="1">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90055</xdr:colOff>
      <xdr:row>0</xdr:row>
      <xdr:rowOff>126076</xdr:rowOff>
    </xdr:from>
    <xdr:to>
      <xdr:col>0</xdr:col>
      <xdr:colOff>907635</xdr:colOff>
      <xdr:row>0</xdr:row>
      <xdr:rowOff>636295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E9B04C9-9B4E-4801-8E42-BDA48F4BF838}"/>
            </a:ext>
          </a:extLst>
        </xdr:cNvPr>
        <xdr:cNvSpPr/>
      </xdr:nvSpPr>
      <xdr:spPr>
        <a:xfrm>
          <a:off x="90055" y="126076"/>
          <a:ext cx="817580" cy="51021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t>Retour au sommaire </a:t>
          </a:r>
        </a:p>
      </xdr:txBody>
    </xdr:sp>
    <xdr:clientData/>
  </xdr:twoCellAnchor>
  <xdr:twoCellAnchor>
    <xdr:from>
      <xdr:col>13</xdr:col>
      <xdr:colOff>1971040</xdr:colOff>
      <xdr:row>0</xdr:row>
      <xdr:rowOff>0</xdr:rowOff>
    </xdr:from>
    <xdr:to>
      <xdr:col>14</xdr:col>
      <xdr:colOff>188422</xdr:colOff>
      <xdr:row>0</xdr:row>
      <xdr:rowOff>709353</xdr:rowOff>
    </xdr:to>
    <xdr:sp macro="" textlink="">
      <xdr:nvSpPr>
        <xdr:cNvPr id="3" name="Flèche : pentagone 2">
          <a:extLst>
            <a:ext uri="{FF2B5EF4-FFF2-40B4-BE49-F238E27FC236}">
              <a16:creationId xmlns:a16="http://schemas.microsoft.com/office/drawing/2014/main" id="{82034F40-D861-4BC9-8206-B963D2DFE4F7}"/>
            </a:ext>
          </a:extLst>
        </xdr:cNvPr>
        <xdr:cNvSpPr/>
      </xdr:nvSpPr>
      <xdr:spPr>
        <a:xfrm>
          <a:off x="22849840" y="0"/>
          <a:ext cx="300182" cy="709353"/>
        </a:xfrm>
        <a:prstGeom prst="homePlate">
          <a:avLst/>
        </a:prstGeom>
        <a:solidFill>
          <a:srgbClr val="DCC5ED"/>
        </a:solidFill>
        <a:ln>
          <a:solidFill>
            <a:srgbClr val="DCC5E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40640</xdr:colOff>
      <xdr:row>0</xdr:row>
      <xdr:rowOff>91440</xdr:rowOff>
    </xdr:from>
    <xdr:to>
      <xdr:col>3</xdr:col>
      <xdr:colOff>461760</xdr:colOff>
      <xdr:row>0</xdr:row>
      <xdr:rowOff>608442</xdr:rowOff>
    </xdr:to>
    <xdr:sp macro="" textlink="">
      <xdr:nvSpPr>
        <xdr:cNvPr id="13" name="Flèche : pentagone 12">
          <a:hlinkClick xmlns:r="http://schemas.openxmlformats.org/officeDocument/2006/relationships" r:id="rId2"/>
          <a:extLst>
            <a:ext uri="{FF2B5EF4-FFF2-40B4-BE49-F238E27FC236}">
              <a16:creationId xmlns:a16="http://schemas.microsoft.com/office/drawing/2014/main" id="{88DA60CA-DB41-4060-BD1F-34872D1557B3}"/>
            </a:ext>
          </a:extLst>
        </xdr:cNvPr>
        <xdr:cNvSpPr/>
      </xdr:nvSpPr>
      <xdr:spPr>
        <a:xfrm>
          <a:off x="1625600" y="91440"/>
          <a:ext cx="1620000" cy="517002"/>
        </a:xfrm>
        <a:prstGeom prst="homePlate">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chemeClr val="tx1"/>
              </a:solidFill>
            </a:rPr>
            <a:t>Toutes les structures de</a:t>
          </a:r>
          <a:r>
            <a:rPr lang="fr-FR" sz="1100" b="0" baseline="0">
              <a:solidFill>
                <a:schemeClr val="tx1"/>
              </a:solidFill>
            </a:rPr>
            <a:t> la région</a:t>
          </a:r>
          <a:endParaRPr lang="fr-FR" sz="1100" b="0">
            <a:solidFill>
              <a:schemeClr val="tx1"/>
            </a:solidFill>
          </a:endParaRPr>
        </a:p>
      </xdr:txBody>
    </xdr:sp>
    <xdr:clientData/>
  </xdr:twoCellAnchor>
  <xdr:twoCellAnchor>
    <xdr:from>
      <xdr:col>4</xdr:col>
      <xdr:colOff>684147</xdr:colOff>
      <xdr:row>0</xdr:row>
      <xdr:rowOff>91440</xdr:rowOff>
    </xdr:from>
    <xdr:to>
      <xdr:col>5</xdr:col>
      <xdr:colOff>536307</xdr:colOff>
      <xdr:row>0</xdr:row>
      <xdr:rowOff>608443</xdr:rowOff>
    </xdr:to>
    <xdr:sp macro="" textlink="">
      <xdr:nvSpPr>
        <xdr:cNvPr id="14" name="Flèche : chevron 13">
          <a:hlinkClick xmlns:r="http://schemas.openxmlformats.org/officeDocument/2006/relationships" r:id="rId3"/>
          <a:extLst>
            <a:ext uri="{FF2B5EF4-FFF2-40B4-BE49-F238E27FC236}">
              <a16:creationId xmlns:a16="http://schemas.microsoft.com/office/drawing/2014/main" id="{77B75825-4C69-4C16-A124-843D0932ECB9}"/>
            </a:ext>
          </a:extLst>
        </xdr:cNvPr>
        <xdr:cNvSpPr/>
      </xdr:nvSpPr>
      <xdr:spPr>
        <a:xfrm>
          <a:off x="6099427" y="91440"/>
          <a:ext cx="1620000" cy="517003"/>
        </a:xfrm>
        <a:prstGeom prst="chevron">
          <a:avLst/>
        </a:prstGeom>
        <a:solidFill>
          <a:srgbClr val="B887D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Jura (39)</a:t>
          </a:r>
        </a:p>
      </xdr:txBody>
    </xdr:sp>
    <xdr:clientData/>
  </xdr:twoCellAnchor>
  <xdr:twoCellAnchor>
    <xdr:from>
      <xdr:col>5</xdr:col>
      <xdr:colOff>469615</xdr:colOff>
      <xdr:row>0</xdr:row>
      <xdr:rowOff>91440</xdr:rowOff>
    </xdr:from>
    <xdr:to>
      <xdr:col>6</xdr:col>
      <xdr:colOff>37295</xdr:colOff>
      <xdr:row>0</xdr:row>
      <xdr:rowOff>608443</xdr:rowOff>
    </xdr:to>
    <xdr:sp macro="" textlink="">
      <xdr:nvSpPr>
        <xdr:cNvPr id="15" name="Flèche : chevron 14">
          <a:hlinkClick xmlns:r="http://schemas.openxmlformats.org/officeDocument/2006/relationships" r:id="rId4"/>
          <a:extLst>
            <a:ext uri="{FF2B5EF4-FFF2-40B4-BE49-F238E27FC236}">
              <a16:creationId xmlns:a16="http://schemas.microsoft.com/office/drawing/2014/main" id="{CCE3768B-9CEB-4417-A99D-2E4C0176251C}"/>
            </a:ext>
          </a:extLst>
        </xdr:cNvPr>
        <xdr:cNvSpPr/>
      </xdr:nvSpPr>
      <xdr:spPr>
        <a:xfrm>
          <a:off x="7652735"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Nièvre (58)</a:t>
          </a:r>
          <a:r>
            <a:rPr lang="fr-FR" sz="900">
              <a:solidFill>
                <a:schemeClr val="tx1"/>
              </a:solidFill>
            </a:rPr>
            <a:t> </a:t>
          </a:r>
        </a:p>
      </xdr:txBody>
    </xdr:sp>
    <xdr:clientData/>
  </xdr:twoCellAnchor>
  <xdr:twoCellAnchor>
    <xdr:from>
      <xdr:col>3</xdr:col>
      <xdr:colOff>1850566</xdr:colOff>
      <xdr:row>0</xdr:row>
      <xdr:rowOff>91440</xdr:rowOff>
    </xdr:from>
    <xdr:to>
      <xdr:col>4</xdr:col>
      <xdr:colOff>839126</xdr:colOff>
      <xdr:row>0</xdr:row>
      <xdr:rowOff>608443</xdr:rowOff>
    </xdr:to>
    <xdr:sp macro="" textlink="">
      <xdr:nvSpPr>
        <xdr:cNvPr id="16" name="Flèche : chevron 15">
          <a:hlinkClick xmlns:r="http://schemas.openxmlformats.org/officeDocument/2006/relationships" r:id="rId5"/>
          <a:extLst>
            <a:ext uri="{FF2B5EF4-FFF2-40B4-BE49-F238E27FC236}">
              <a16:creationId xmlns:a16="http://schemas.microsoft.com/office/drawing/2014/main" id="{ACE85F30-F831-48C7-95CA-9AC252AE8680}"/>
            </a:ext>
          </a:extLst>
        </xdr:cNvPr>
        <xdr:cNvSpPr/>
      </xdr:nvSpPr>
      <xdr:spPr>
        <a:xfrm>
          <a:off x="4634406"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effectLst/>
              <a:latin typeface="+mn-lt"/>
              <a:ea typeface="+mn-ea"/>
              <a:cs typeface="+mn-cs"/>
            </a:rPr>
            <a:t>Doubs (25)</a:t>
          </a:r>
          <a:endParaRPr lang="fr-FR" sz="900">
            <a:solidFill>
              <a:schemeClr val="tx1"/>
            </a:solidFill>
            <a:effectLst/>
          </a:endParaRPr>
        </a:p>
      </xdr:txBody>
    </xdr:sp>
    <xdr:clientData/>
  </xdr:twoCellAnchor>
  <xdr:twoCellAnchor>
    <xdr:from>
      <xdr:col>5</xdr:col>
      <xdr:colOff>1953775</xdr:colOff>
      <xdr:row>0</xdr:row>
      <xdr:rowOff>91440</xdr:rowOff>
    </xdr:from>
    <xdr:to>
      <xdr:col>6</xdr:col>
      <xdr:colOff>1521455</xdr:colOff>
      <xdr:row>0</xdr:row>
      <xdr:rowOff>608443</xdr:rowOff>
    </xdr:to>
    <xdr:sp macro="" textlink="">
      <xdr:nvSpPr>
        <xdr:cNvPr id="17" name="Flèche : chevron 16">
          <a:hlinkClick xmlns:r="http://schemas.openxmlformats.org/officeDocument/2006/relationships" r:id="rId6"/>
          <a:extLst>
            <a:ext uri="{FF2B5EF4-FFF2-40B4-BE49-F238E27FC236}">
              <a16:creationId xmlns:a16="http://schemas.microsoft.com/office/drawing/2014/main" id="{728B4506-A5E1-458D-ABA9-48E4F4B11DB4}"/>
            </a:ext>
          </a:extLst>
        </xdr:cNvPr>
        <xdr:cNvSpPr/>
      </xdr:nvSpPr>
      <xdr:spPr>
        <a:xfrm>
          <a:off x="9136895"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Haute-Saône (70)</a:t>
          </a:r>
        </a:p>
      </xdr:txBody>
    </xdr:sp>
    <xdr:clientData/>
  </xdr:twoCellAnchor>
  <xdr:twoCellAnchor>
    <xdr:from>
      <xdr:col>3</xdr:col>
      <xdr:colOff>312279</xdr:colOff>
      <xdr:row>0</xdr:row>
      <xdr:rowOff>91440</xdr:rowOff>
    </xdr:from>
    <xdr:to>
      <xdr:col>3</xdr:col>
      <xdr:colOff>1932279</xdr:colOff>
      <xdr:row>0</xdr:row>
      <xdr:rowOff>608443</xdr:rowOff>
    </xdr:to>
    <xdr:sp macro="" textlink="">
      <xdr:nvSpPr>
        <xdr:cNvPr id="18" name="Flèche : chevron 17">
          <a:hlinkClick xmlns:r="http://schemas.openxmlformats.org/officeDocument/2006/relationships" r:id="rId7"/>
          <a:extLst>
            <a:ext uri="{FF2B5EF4-FFF2-40B4-BE49-F238E27FC236}">
              <a16:creationId xmlns:a16="http://schemas.microsoft.com/office/drawing/2014/main" id="{364E0F4A-7BBE-431A-823A-5DAA3664C83D}"/>
            </a:ext>
          </a:extLst>
        </xdr:cNvPr>
        <xdr:cNvSpPr/>
      </xdr:nvSpPr>
      <xdr:spPr>
        <a:xfrm>
          <a:off x="3096119"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0">
              <a:solidFill>
                <a:schemeClr val="tx1"/>
              </a:solidFill>
            </a:rPr>
            <a:t>Côte-d'Or (21)</a:t>
          </a:r>
        </a:p>
      </xdr:txBody>
    </xdr:sp>
    <xdr:clientData/>
  </xdr:twoCellAnchor>
  <xdr:twoCellAnchor>
    <xdr:from>
      <xdr:col>6</xdr:col>
      <xdr:colOff>1391741</xdr:colOff>
      <xdr:row>0</xdr:row>
      <xdr:rowOff>91440</xdr:rowOff>
    </xdr:from>
    <xdr:to>
      <xdr:col>7</xdr:col>
      <xdr:colOff>857821</xdr:colOff>
      <xdr:row>0</xdr:row>
      <xdr:rowOff>608443</xdr:rowOff>
    </xdr:to>
    <xdr:sp macro="" textlink="">
      <xdr:nvSpPr>
        <xdr:cNvPr id="19" name="Flèche : chevron 18">
          <a:hlinkClick xmlns:r="http://schemas.openxmlformats.org/officeDocument/2006/relationships" r:id="rId8"/>
          <a:extLst>
            <a:ext uri="{FF2B5EF4-FFF2-40B4-BE49-F238E27FC236}">
              <a16:creationId xmlns:a16="http://schemas.microsoft.com/office/drawing/2014/main" id="{327E744E-FEA3-49F6-8990-C6E0415AC00C}"/>
            </a:ext>
          </a:extLst>
        </xdr:cNvPr>
        <xdr:cNvSpPr/>
      </xdr:nvSpPr>
      <xdr:spPr>
        <a:xfrm>
          <a:off x="10627181"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Saône-et-Loire (71)</a:t>
          </a:r>
        </a:p>
      </xdr:txBody>
    </xdr:sp>
    <xdr:clientData/>
  </xdr:twoCellAnchor>
  <xdr:twoCellAnchor>
    <xdr:from>
      <xdr:col>7</xdr:col>
      <xdr:colOff>713498</xdr:colOff>
      <xdr:row>0</xdr:row>
      <xdr:rowOff>91440</xdr:rowOff>
    </xdr:from>
    <xdr:to>
      <xdr:col>8</xdr:col>
      <xdr:colOff>941578</xdr:colOff>
      <xdr:row>0</xdr:row>
      <xdr:rowOff>608443</xdr:rowOff>
    </xdr:to>
    <xdr:sp macro="" textlink="">
      <xdr:nvSpPr>
        <xdr:cNvPr id="20" name="Flèche : chevron 19">
          <a:hlinkClick xmlns:r="http://schemas.openxmlformats.org/officeDocument/2006/relationships" r:id="rId9"/>
          <a:extLst>
            <a:ext uri="{FF2B5EF4-FFF2-40B4-BE49-F238E27FC236}">
              <a16:creationId xmlns:a16="http://schemas.microsoft.com/office/drawing/2014/main" id="{55AAA417-9084-498D-8E5C-A3DE387ECA06}"/>
            </a:ext>
          </a:extLst>
        </xdr:cNvPr>
        <xdr:cNvSpPr/>
      </xdr:nvSpPr>
      <xdr:spPr>
        <a:xfrm>
          <a:off x="12102858"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Yonne (89)</a:t>
          </a:r>
        </a:p>
      </xdr:txBody>
    </xdr:sp>
    <xdr:clientData/>
  </xdr:twoCellAnchor>
  <xdr:twoCellAnchor>
    <xdr:from>
      <xdr:col>8</xdr:col>
      <xdr:colOff>802577</xdr:colOff>
      <xdr:row>0</xdr:row>
      <xdr:rowOff>91440</xdr:rowOff>
    </xdr:from>
    <xdr:to>
      <xdr:col>8</xdr:col>
      <xdr:colOff>2422577</xdr:colOff>
      <xdr:row>0</xdr:row>
      <xdr:rowOff>608443</xdr:rowOff>
    </xdr:to>
    <xdr:sp macro="" textlink="">
      <xdr:nvSpPr>
        <xdr:cNvPr id="21" name="Flèche : chevron 20">
          <a:hlinkClick xmlns:r="http://schemas.openxmlformats.org/officeDocument/2006/relationships" r:id="rId10"/>
          <a:extLst>
            <a:ext uri="{FF2B5EF4-FFF2-40B4-BE49-F238E27FC236}">
              <a16:creationId xmlns:a16="http://schemas.microsoft.com/office/drawing/2014/main" id="{A8EE9E22-5367-4D98-9E51-A14EB9F9B691}"/>
            </a:ext>
          </a:extLst>
        </xdr:cNvPr>
        <xdr:cNvSpPr/>
      </xdr:nvSpPr>
      <xdr:spPr>
        <a:xfrm>
          <a:off x="13583857"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Territoire</a:t>
          </a:r>
          <a:r>
            <a:rPr lang="fr-FR" sz="900" b="1" baseline="0">
              <a:solidFill>
                <a:schemeClr val="tx1"/>
              </a:solidFill>
            </a:rPr>
            <a:t> de Belfort (90)</a:t>
          </a:r>
          <a:endParaRPr lang="fr-FR" sz="900" b="1">
            <a:solidFill>
              <a:schemeClr val="tx1"/>
            </a:solidFill>
          </a:endParaRPr>
        </a:p>
      </xdr:txBody>
    </xdr:sp>
    <xdr:clientData/>
  </xdr:twoCellAnchor>
  <xdr:twoCellAnchor>
    <xdr:from>
      <xdr:col>8</xdr:col>
      <xdr:colOff>2289447</xdr:colOff>
      <xdr:row>0</xdr:row>
      <xdr:rowOff>91440</xdr:rowOff>
    </xdr:from>
    <xdr:to>
      <xdr:col>9</xdr:col>
      <xdr:colOff>1481207</xdr:colOff>
      <xdr:row>0</xdr:row>
      <xdr:rowOff>608443</xdr:rowOff>
    </xdr:to>
    <xdr:sp macro="" textlink="">
      <xdr:nvSpPr>
        <xdr:cNvPr id="22" name="Flèche : chevron 21">
          <a:hlinkClick xmlns:r="http://schemas.openxmlformats.org/officeDocument/2006/relationships" r:id="rId11"/>
          <a:extLst>
            <a:ext uri="{FF2B5EF4-FFF2-40B4-BE49-F238E27FC236}">
              <a16:creationId xmlns:a16="http://schemas.microsoft.com/office/drawing/2014/main" id="{AF559054-6BB4-4921-81CB-887D98CA69D4}"/>
            </a:ext>
          </a:extLst>
        </xdr:cNvPr>
        <xdr:cNvSpPr/>
      </xdr:nvSpPr>
      <xdr:spPr>
        <a:xfrm>
          <a:off x="15070727"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Intervention</a:t>
          </a:r>
          <a:r>
            <a:rPr lang="fr-FR" sz="900" b="1" baseline="0">
              <a:solidFill>
                <a:schemeClr val="tx1"/>
              </a:solidFill>
            </a:rPr>
            <a:t> en Nord-Franche-Comté</a:t>
          </a:r>
          <a:endParaRPr lang="fr-FR" sz="900" b="1">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90055</xdr:colOff>
      <xdr:row>0</xdr:row>
      <xdr:rowOff>126076</xdr:rowOff>
    </xdr:from>
    <xdr:to>
      <xdr:col>0</xdr:col>
      <xdr:colOff>907635</xdr:colOff>
      <xdr:row>0</xdr:row>
      <xdr:rowOff>636295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11A03DBA-F46C-462D-8B3D-3380F7CF1F05}"/>
            </a:ext>
          </a:extLst>
        </xdr:cNvPr>
        <xdr:cNvSpPr/>
      </xdr:nvSpPr>
      <xdr:spPr>
        <a:xfrm>
          <a:off x="90055" y="126076"/>
          <a:ext cx="817580" cy="51021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t>Retour au sommaire </a:t>
          </a:r>
        </a:p>
      </xdr:txBody>
    </xdr:sp>
    <xdr:clientData/>
  </xdr:twoCellAnchor>
  <xdr:twoCellAnchor>
    <xdr:from>
      <xdr:col>13</xdr:col>
      <xdr:colOff>2306320</xdr:colOff>
      <xdr:row>0</xdr:row>
      <xdr:rowOff>0</xdr:rowOff>
    </xdr:from>
    <xdr:to>
      <xdr:col>14</xdr:col>
      <xdr:colOff>188422</xdr:colOff>
      <xdr:row>0</xdr:row>
      <xdr:rowOff>709353</xdr:rowOff>
    </xdr:to>
    <xdr:sp macro="" textlink="">
      <xdr:nvSpPr>
        <xdr:cNvPr id="3" name="Flèche : pentagone 2">
          <a:extLst>
            <a:ext uri="{FF2B5EF4-FFF2-40B4-BE49-F238E27FC236}">
              <a16:creationId xmlns:a16="http://schemas.microsoft.com/office/drawing/2014/main" id="{F7752394-370F-4A2D-993A-9152DDF362F9}"/>
            </a:ext>
          </a:extLst>
        </xdr:cNvPr>
        <xdr:cNvSpPr/>
      </xdr:nvSpPr>
      <xdr:spPr>
        <a:xfrm>
          <a:off x="19832320" y="0"/>
          <a:ext cx="310342" cy="709353"/>
        </a:xfrm>
        <a:prstGeom prst="homePlate">
          <a:avLst/>
        </a:prstGeom>
        <a:solidFill>
          <a:srgbClr val="DCC5ED"/>
        </a:solidFill>
        <a:ln>
          <a:solidFill>
            <a:srgbClr val="DCC5E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71120</xdr:colOff>
      <xdr:row>0</xdr:row>
      <xdr:rowOff>71120</xdr:rowOff>
    </xdr:from>
    <xdr:to>
      <xdr:col>3</xdr:col>
      <xdr:colOff>492240</xdr:colOff>
      <xdr:row>0</xdr:row>
      <xdr:rowOff>588122</xdr:rowOff>
    </xdr:to>
    <xdr:sp macro="" textlink="">
      <xdr:nvSpPr>
        <xdr:cNvPr id="13" name="Flèche : pentagone 12">
          <a:hlinkClick xmlns:r="http://schemas.openxmlformats.org/officeDocument/2006/relationships" r:id="rId2"/>
          <a:extLst>
            <a:ext uri="{FF2B5EF4-FFF2-40B4-BE49-F238E27FC236}">
              <a16:creationId xmlns:a16="http://schemas.microsoft.com/office/drawing/2014/main" id="{2EC08DDC-D5CE-42B7-ABC0-0D1368B85533}"/>
            </a:ext>
          </a:extLst>
        </xdr:cNvPr>
        <xdr:cNvSpPr/>
      </xdr:nvSpPr>
      <xdr:spPr>
        <a:xfrm>
          <a:off x="1656080" y="71120"/>
          <a:ext cx="1620000" cy="517002"/>
        </a:xfrm>
        <a:prstGeom prst="homePlate">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chemeClr val="tx1"/>
              </a:solidFill>
            </a:rPr>
            <a:t>Toutes les structures de</a:t>
          </a:r>
          <a:r>
            <a:rPr lang="fr-FR" sz="1100" b="0" baseline="0">
              <a:solidFill>
                <a:schemeClr val="tx1"/>
              </a:solidFill>
            </a:rPr>
            <a:t> la région</a:t>
          </a:r>
          <a:endParaRPr lang="fr-FR" sz="1100" b="0">
            <a:solidFill>
              <a:schemeClr val="tx1"/>
            </a:solidFill>
          </a:endParaRPr>
        </a:p>
      </xdr:txBody>
    </xdr:sp>
    <xdr:clientData/>
  </xdr:twoCellAnchor>
  <xdr:twoCellAnchor>
    <xdr:from>
      <xdr:col>4</xdr:col>
      <xdr:colOff>714627</xdr:colOff>
      <xdr:row>0</xdr:row>
      <xdr:rowOff>71120</xdr:rowOff>
    </xdr:from>
    <xdr:to>
      <xdr:col>5</xdr:col>
      <xdr:colOff>566787</xdr:colOff>
      <xdr:row>0</xdr:row>
      <xdr:rowOff>588123</xdr:rowOff>
    </xdr:to>
    <xdr:sp macro="" textlink="">
      <xdr:nvSpPr>
        <xdr:cNvPr id="14" name="Flèche : chevron 13">
          <a:hlinkClick xmlns:r="http://schemas.openxmlformats.org/officeDocument/2006/relationships" r:id="rId3"/>
          <a:extLst>
            <a:ext uri="{FF2B5EF4-FFF2-40B4-BE49-F238E27FC236}">
              <a16:creationId xmlns:a16="http://schemas.microsoft.com/office/drawing/2014/main" id="{653B935C-0215-41E6-AFAB-255CC4B467AC}"/>
            </a:ext>
          </a:extLst>
        </xdr:cNvPr>
        <xdr:cNvSpPr/>
      </xdr:nvSpPr>
      <xdr:spPr>
        <a:xfrm>
          <a:off x="6129907" y="7112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Jura (39)</a:t>
          </a:r>
        </a:p>
      </xdr:txBody>
    </xdr:sp>
    <xdr:clientData/>
  </xdr:twoCellAnchor>
  <xdr:twoCellAnchor>
    <xdr:from>
      <xdr:col>5</xdr:col>
      <xdr:colOff>500095</xdr:colOff>
      <xdr:row>0</xdr:row>
      <xdr:rowOff>71120</xdr:rowOff>
    </xdr:from>
    <xdr:to>
      <xdr:col>6</xdr:col>
      <xdr:colOff>565615</xdr:colOff>
      <xdr:row>0</xdr:row>
      <xdr:rowOff>588123</xdr:rowOff>
    </xdr:to>
    <xdr:sp macro="" textlink="">
      <xdr:nvSpPr>
        <xdr:cNvPr id="15" name="Flèche : chevron 14">
          <a:hlinkClick xmlns:r="http://schemas.openxmlformats.org/officeDocument/2006/relationships" r:id="rId4"/>
          <a:extLst>
            <a:ext uri="{FF2B5EF4-FFF2-40B4-BE49-F238E27FC236}">
              <a16:creationId xmlns:a16="http://schemas.microsoft.com/office/drawing/2014/main" id="{8BA08B99-F263-4A7F-86AE-C0E3EAF45117}"/>
            </a:ext>
          </a:extLst>
        </xdr:cNvPr>
        <xdr:cNvSpPr/>
      </xdr:nvSpPr>
      <xdr:spPr>
        <a:xfrm>
          <a:off x="7683215" y="71120"/>
          <a:ext cx="1620000" cy="517003"/>
        </a:xfrm>
        <a:prstGeom prst="chevron">
          <a:avLst/>
        </a:prstGeom>
        <a:solidFill>
          <a:srgbClr val="B887D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Nièvre (58)</a:t>
          </a:r>
          <a:r>
            <a:rPr lang="fr-FR" sz="900">
              <a:solidFill>
                <a:schemeClr val="tx1"/>
              </a:solidFill>
            </a:rPr>
            <a:t> </a:t>
          </a:r>
        </a:p>
      </xdr:txBody>
    </xdr:sp>
    <xdr:clientData/>
  </xdr:twoCellAnchor>
  <xdr:twoCellAnchor>
    <xdr:from>
      <xdr:col>3</xdr:col>
      <xdr:colOff>1881046</xdr:colOff>
      <xdr:row>0</xdr:row>
      <xdr:rowOff>71120</xdr:rowOff>
    </xdr:from>
    <xdr:to>
      <xdr:col>4</xdr:col>
      <xdr:colOff>869606</xdr:colOff>
      <xdr:row>0</xdr:row>
      <xdr:rowOff>588123</xdr:rowOff>
    </xdr:to>
    <xdr:sp macro="" textlink="">
      <xdr:nvSpPr>
        <xdr:cNvPr id="16" name="Flèche : chevron 15">
          <a:hlinkClick xmlns:r="http://schemas.openxmlformats.org/officeDocument/2006/relationships" r:id="rId5"/>
          <a:extLst>
            <a:ext uri="{FF2B5EF4-FFF2-40B4-BE49-F238E27FC236}">
              <a16:creationId xmlns:a16="http://schemas.microsoft.com/office/drawing/2014/main" id="{73E34208-DB70-4D14-8AA3-54F344B0B829}"/>
            </a:ext>
          </a:extLst>
        </xdr:cNvPr>
        <xdr:cNvSpPr/>
      </xdr:nvSpPr>
      <xdr:spPr>
        <a:xfrm>
          <a:off x="4664886" y="7112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effectLst/>
              <a:latin typeface="+mn-lt"/>
              <a:ea typeface="+mn-ea"/>
              <a:cs typeface="+mn-cs"/>
            </a:rPr>
            <a:t>Doubs (25)</a:t>
          </a:r>
          <a:endParaRPr lang="fr-FR" sz="900">
            <a:solidFill>
              <a:schemeClr val="tx1"/>
            </a:solidFill>
            <a:effectLst/>
          </a:endParaRPr>
        </a:p>
      </xdr:txBody>
    </xdr:sp>
    <xdr:clientData/>
  </xdr:twoCellAnchor>
  <xdr:twoCellAnchor>
    <xdr:from>
      <xdr:col>6</xdr:col>
      <xdr:colOff>429775</xdr:colOff>
      <xdr:row>0</xdr:row>
      <xdr:rowOff>71120</xdr:rowOff>
    </xdr:from>
    <xdr:to>
      <xdr:col>6</xdr:col>
      <xdr:colOff>2049775</xdr:colOff>
      <xdr:row>0</xdr:row>
      <xdr:rowOff>588123</xdr:rowOff>
    </xdr:to>
    <xdr:sp macro="" textlink="">
      <xdr:nvSpPr>
        <xdr:cNvPr id="17" name="Flèche : chevron 16">
          <a:hlinkClick xmlns:r="http://schemas.openxmlformats.org/officeDocument/2006/relationships" r:id="rId6"/>
          <a:extLst>
            <a:ext uri="{FF2B5EF4-FFF2-40B4-BE49-F238E27FC236}">
              <a16:creationId xmlns:a16="http://schemas.microsoft.com/office/drawing/2014/main" id="{A7FF6284-5533-4DC1-A3E7-B67C4E0F87B3}"/>
            </a:ext>
          </a:extLst>
        </xdr:cNvPr>
        <xdr:cNvSpPr/>
      </xdr:nvSpPr>
      <xdr:spPr>
        <a:xfrm>
          <a:off x="9167375" y="7112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Haute-Saône (70)</a:t>
          </a:r>
        </a:p>
      </xdr:txBody>
    </xdr:sp>
    <xdr:clientData/>
  </xdr:twoCellAnchor>
  <xdr:twoCellAnchor>
    <xdr:from>
      <xdr:col>3</xdr:col>
      <xdr:colOff>342759</xdr:colOff>
      <xdr:row>0</xdr:row>
      <xdr:rowOff>71120</xdr:rowOff>
    </xdr:from>
    <xdr:to>
      <xdr:col>3</xdr:col>
      <xdr:colOff>1962759</xdr:colOff>
      <xdr:row>0</xdr:row>
      <xdr:rowOff>588123</xdr:rowOff>
    </xdr:to>
    <xdr:sp macro="" textlink="">
      <xdr:nvSpPr>
        <xdr:cNvPr id="18" name="Flèche : chevron 17">
          <a:hlinkClick xmlns:r="http://schemas.openxmlformats.org/officeDocument/2006/relationships" r:id="rId7"/>
          <a:extLst>
            <a:ext uri="{FF2B5EF4-FFF2-40B4-BE49-F238E27FC236}">
              <a16:creationId xmlns:a16="http://schemas.microsoft.com/office/drawing/2014/main" id="{8D8C08B6-2E6E-45BE-8CF7-A0658ECEC41D}"/>
            </a:ext>
          </a:extLst>
        </xdr:cNvPr>
        <xdr:cNvSpPr/>
      </xdr:nvSpPr>
      <xdr:spPr>
        <a:xfrm>
          <a:off x="3126599" y="7112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0">
              <a:solidFill>
                <a:schemeClr val="tx1"/>
              </a:solidFill>
            </a:rPr>
            <a:t>Côte-d'Or (21)</a:t>
          </a:r>
        </a:p>
      </xdr:txBody>
    </xdr:sp>
    <xdr:clientData/>
  </xdr:twoCellAnchor>
  <xdr:twoCellAnchor>
    <xdr:from>
      <xdr:col>6</xdr:col>
      <xdr:colOff>1920061</xdr:colOff>
      <xdr:row>0</xdr:row>
      <xdr:rowOff>71120</xdr:rowOff>
    </xdr:from>
    <xdr:to>
      <xdr:col>7</xdr:col>
      <xdr:colOff>1386141</xdr:colOff>
      <xdr:row>0</xdr:row>
      <xdr:rowOff>588123</xdr:rowOff>
    </xdr:to>
    <xdr:sp macro="" textlink="">
      <xdr:nvSpPr>
        <xdr:cNvPr id="19" name="Flèche : chevron 18">
          <a:hlinkClick xmlns:r="http://schemas.openxmlformats.org/officeDocument/2006/relationships" r:id="rId8"/>
          <a:extLst>
            <a:ext uri="{FF2B5EF4-FFF2-40B4-BE49-F238E27FC236}">
              <a16:creationId xmlns:a16="http://schemas.microsoft.com/office/drawing/2014/main" id="{BD0D44A1-156F-4B41-B26C-FA9392951917}"/>
            </a:ext>
          </a:extLst>
        </xdr:cNvPr>
        <xdr:cNvSpPr/>
      </xdr:nvSpPr>
      <xdr:spPr>
        <a:xfrm>
          <a:off x="10657661" y="7112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Saône-et-Loire (71)</a:t>
          </a:r>
        </a:p>
      </xdr:txBody>
    </xdr:sp>
    <xdr:clientData/>
  </xdr:twoCellAnchor>
  <xdr:twoCellAnchor>
    <xdr:from>
      <xdr:col>7</xdr:col>
      <xdr:colOff>1241818</xdr:colOff>
      <xdr:row>0</xdr:row>
      <xdr:rowOff>71120</xdr:rowOff>
    </xdr:from>
    <xdr:to>
      <xdr:col>8</xdr:col>
      <xdr:colOff>1469898</xdr:colOff>
      <xdr:row>0</xdr:row>
      <xdr:rowOff>588123</xdr:rowOff>
    </xdr:to>
    <xdr:sp macro="" textlink="">
      <xdr:nvSpPr>
        <xdr:cNvPr id="20" name="Flèche : chevron 19">
          <a:hlinkClick xmlns:r="http://schemas.openxmlformats.org/officeDocument/2006/relationships" r:id="rId9"/>
          <a:extLst>
            <a:ext uri="{FF2B5EF4-FFF2-40B4-BE49-F238E27FC236}">
              <a16:creationId xmlns:a16="http://schemas.microsoft.com/office/drawing/2014/main" id="{770CEB9A-42FA-465E-984B-29AFCC160888}"/>
            </a:ext>
          </a:extLst>
        </xdr:cNvPr>
        <xdr:cNvSpPr/>
      </xdr:nvSpPr>
      <xdr:spPr>
        <a:xfrm>
          <a:off x="12133338" y="7112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Yonne (89)</a:t>
          </a:r>
        </a:p>
      </xdr:txBody>
    </xdr:sp>
    <xdr:clientData/>
  </xdr:twoCellAnchor>
  <xdr:twoCellAnchor>
    <xdr:from>
      <xdr:col>8</xdr:col>
      <xdr:colOff>1330897</xdr:colOff>
      <xdr:row>0</xdr:row>
      <xdr:rowOff>71120</xdr:rowOff>
    </xdr:from>
    <xdr:to>
      <xdr:col>9</xdr:col>
      <xdr:colOff>522657</xdr:colOff>
      <xdr:row>0</xdr:row>
      <xdr:rowOff>588123</xdr:rowOff>
    </xdr:to>
    <xdr:sp macro="" textlink="">
      <xdr:nvSpPr>
        <xdr:cNvPr id="21" name="Flèche : chevron 20">
          <a:hlinkClick xmlns:r="http://schemas.openxmlformats.org/officeDocument/2006/relationships" r:id="rId10"/>
          <a:extLst>
            <a:ext uri="{FF2B5EF4-FFF2-40B4-BE49-F238E27FC236}">
              <a16:creationId xmlns:a16="http://schemas.microsoft.com/office/drawing/2014/main" id="{19CCAE31-8A19-4477-8A93-EA874C22D752}"/>
            </a:ext>
          </a:extLst>
        </xdr:cNvPr>
        <xdr:cNvSpPr/>
      </xdr:nvSpPr>
      <xdr:spPr>
        <a:xfrm>
          <a:off x="13614337" y="7112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Territoire</a:t>
          </a:r>
          <a:r>
            <a:rPr lang="fr-FR" sz="900" b="1" baseline="0">
              <a:solidFill>
                <a:schemeClr val="tx1"/>
              </a:solidFill>
            </a:rPr>
            <a:t> de Belfort (90)</a:t>
          </a:r>
          <a:endParaRPr lang="fr-FR" sz="900" b="1">
            <a:solidFill>
              <a:schemeClr val="tx1"/>
            </a:solidFill>
          </a:endParaRPr>
        </a:p>
      </xdr:txBody>
    </xdr:sp>
    <xdr:clientData/>
  </xdr:twoCellAnchor>
  <xdr:twoCellAnchor>
    <xdr:from>
      <xdr:col>9</xdr:col>
      <xdr:colOff>389527</xdr:colOff>
      <xdr:row>0</xdr:row>
      <xdr:rowOff>71120</xdr:rowOff>
    </xdr:from>
    <xdr:to>
      <xdr:col>10</xdr:col>
      <xdr:colOff>526167</xdr:colOff>
      <xdr:row>0</xdr:row>
      <xdr:rowOff>588123</xdr:rowOff>
    </xdr:to>
    <xdr:sp macro="" textlink="">
      <xdr:nvSpPr>
        <xdr:cNvPr id="22" name="Flèche : chevron 21">
          <a:hlinkClick xmlns:r="http://schemas.openxmlformats.org/officeDocument/2006/relationships" r:id="rId11"/>
          <a:extLst>
            <a:ext uri="{FF2B5EF4-FFF2-40B4-BE49-F238E27FC236}">
              <a16:creationId xmlns:a16="http://schemas.microsoft.com/office/drawing/2014/main" id="{871A54E2-D228-422C-9C8D-4E914201675D}"/>
            </a:ext>
          </a:extLst>
        </xdr:cNvPr>
        <xdr:cNvSpPr/>
      </xdr:nvSpPr>
      <xdr:spPr>
        <a:xfrm>
          <a:off x="15101207" y="7112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Intervention</a:t>
          </a:r>
          <a:r>
            <a:rPr lang="fr-FR" sz="900" b="1" baseline="0">
              <a:solidFill>
                <a:schemeClr val="tx1"/>
              </a:solidFill>
            </a:rPr>
            <a:t> en Nord-Franche-Comté</a:t>
          </a:r>
          <a:endParaRPr lang="fr-FR" sz="900" b="1">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90055</xdr:colOff>
      <xdr:row>0</xdr:row>
      <xdr:rowOff>126076</xdr:rowOff>
    </xdr:from>
    <xdr:to>
      <xdr:col>0</xdr:col>
      <xdr:colOff>907635</xdr:colOff>
      <xdr:row>0</xdr:row>
      <xdr:rowOff>636295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32E2E2A-8386-4AEA-9D91-53A1E19F3479}"/>
            </a:ext>
          </a:extLst>
        </xdr:cNvPr>
        <xdr:cNvSpPr/>
      </xdr:nvSpPr>
      <xdr:spPr>
        <a:xfrm>
          <a:off x="90055" y="126076"/>
          <a:ext cx="817580" cy="51021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t>Retour au sommaire </a:t>
          </a:r>
        </a:p>
      </xdr:txBody>
    </xdr:sp>
    <xdr:clientData/>
  </xdr:twoCellAnchor>
  <xdr:twoCellAnchor>
    <xdr:from>
      <xdr:col>13</xdr:col>
      <xdr:colOff>1899920</xdr:colOff>
      <xdr:row>0</xdr:row>
      <xdr:rowOff>0</xdr:rowOff>
    </xdr:from>
    <xdr:to>
      <xdr:col>14</xdr:col>
      <xdr:colOff>188422</xdr:colOff>
      <xdr:row>0</xdr:row>
      <xdr:rowOff>709353</xdr:rowOff>
    </xdr:to>
    <xdr:sp macro="" textlink="">
      <xdr:nvSpPr>
        <xdr:cNvPr id="3" name="Flèche : pentagone 2">
          <a:extLst>
            <a:ext uri="{FF2B5EF4-FFF2-40B4-BE49-F238E27FC236}">
              <a16:creationId xmlns:a16="http://schemas.microsoft.com/office/drawing/2014/main" id="{48E32A7B-80C3-4517-A8CA-13B9CA5336FA}"/>
            </a:ext>
          </a:extLst>
        </xdr:cNvPr>
        <xdr:cNvSpPr/>
      </xdr:nvSpPr>
      <xdr:spPr>
        <a:xfrm>
          <a:off x="22778720" y="0"/>
          <a:ext cx="310342" cy="709353"/>
        </a:xfrm>
        <a:prstGeom prst="homePlate">
          <a:avLst/>
        </a:prstGeom>
        <a:solidFill>
          <a:srgbClr val="DCC5ED"/>
        </a:solidFill>
        <a:ln>
          <a:solidFill>
            <a:srgbClr val="DCC5E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10160</xdr:colOff>
      <xdr:row>0</xdr:row>
      <xdr:rowOff>91440</xdr:rowOff>
    </xdr:from>
    <xdr:to>
      <xdr:col>3</xdr:col>
      <xdr:colOff>431280</xdr:colOff>
      <xdr:row>0</xdr:row>
      <xdr:rowOff>608442</xdr:rowOff>
    </xdr:to>
    <xdr:sp macro="" textlink="">
      <xdr:nvSpPr>
        <xdr:cNvPr id="28" name="Flèche : pentagone 27">
          <a:hlinkClick xmlns:r="http://schemas.openxmlformats.org/officeDocument/2006/relationships" r:id="rId2"/>
          <a:extLst>
            <a:ext uri="{FF2B5EF4-FFF2-40B4-BE49-F238E27FC236}">
              <a16:creationId xmlns:a16="http://schemas.microsoft.com/office/drawing/2014/main" id="{06D54CFA-108E-4205-8E52-5632330F1FED}"/>
            </a:ext>
          </a:extLst>
        </xdr:cNvPr>
        <xdr:cNvSpPr/>
      </xdr:nvSpPr>
      <xdr:spPr>
        <a:xfrm>
          <a:off x="1595120" y="91440"/>
          <a:ext cx="1620000" cy="517002"/>
        </a:xfrm>
        <a:prstGeom prst="homePlate">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chemeClr val="tx1"/>
              </a:solidFill>
            </a:rPr>
            <a:t>Toutes les structures de</a:t>
          </a:r>
          <a:r>
            <a:rPr lang="fr-FR" sz="1100" b="0" baseline="0">
              <a:solidFill>
                <a:schemeClr val="tx1"/>
              </a:solidFill>
            </a:rPr>
            <a:t> la région</a:t>
          </a:r>
          <a:endParaRPr lang="fr-FR" sz="1100" b="0">
            <a:solidFill>
              <a:schemeClr val="tx1"/>
            </a:solidFill>
          </a:endParaRPr>
        </a:p>
      </xdr:txBody>
    </xdr:sp>
    <xdr:clientData/>
  </xdr:twoCellAnchor>
  <xdr:twoCellAnchor>
    <xdr:from>
      <xdr:col>4</xdr:col>
      <xdr:colOff>653667</xdr:colOff>
      <xdr:row>0</xdr:row>
      <xdr:rowOff>91440</xdr:rowOff>
    </xdr:from>
    <xdr:to>
      <xdr:col>5</xdr:col>
      <xdr:colOff>505827</xdr:colOff>
      <xdr:row>0</xdr:row>
      <xdr:rowOff>608443</xdr:rowOff>
    </xdr:to>
    <xdr:sp macro="" textlink="">
      <xdr:nvSpPr>
        <xdr:cNvPr id="29" name="Flèche : chevron 28">
          <a:hlinkClick xmlns:r="http://schemas.openxmlformats.org/officeDocument/2006/relationships" r:id="rId3"/>
          <a:extLst>
            <a:ext uri="{FF2B5EF4-FFF2-40B4-BE49-F238E27FC236}">
              <a16:creationId xmlns:a16="http://schemas.microsoft.com/office/drawing/2014/main" id="{F19A10C3-D5D9-4002-91AB-AC6901C1C586}"/>
            </a:ext>
          </a:extLst>
        </xdr:cNvPr>
        <xdr:cNvSpPr/>
      </xdr:nvSpPr>
      <xdr:spPr>
        <a:xfrm>
          <a:off x="6068947"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Jura (39)</a:t>
          </a:r>
        </a:p>
      </xdr:txBody>
    </xdr:sp>
    <xdr:clientData/>
  </xdr:twoCellAnchor>
  <xdr:twoCellAnchor>
    <xdr:from>
      <xdr:col>5</xdr:col>
      <xdr:colOff>439135</xdr:colOff>
      <xdr:row>0</xdr:row>
      <xdr:rowOff>91440</xdr:rowOff>
    </xdr:from>
    <xdr:to>
      <xdr:col>5</xdr:col>
      <xdr:colOff>2059135</xdr:colOff>
      <xdr:row>0</xdr:row>
      <xdr:rowOff>608443</xdr:rowOff>
    </xdr:to>
    <xdr:sp macro="" textlink="">
      <xdr:nvSpPr>
        <xdr:cNvPr id="30" name="Flèche : chevron 29">
          <a:hlinkClick xmlns:r="http://schemas.openxmlformats.org/officeDocument/2006/relationships" r:id="rId4"/>
          <a:extLst>
            <a:ext uri="{FF2B5EF4-FFF2-40B4-BE49-F238E27FC236}">
              <a16:creationId xmlns:a16="http://schemas.microsoft.com/office/drawing/2014/main" id="{CAF40383-3D06-4ABB-BE02-8A01FA6ACD22}"/>
            </a:ext>
          </a:extLst>
        </xdr:cNvPr>
        <xdr:cNvSpPr/>
      </xdr:nvSpPr>
      <xdr:spPr>
        <a:xfrm>
          <a:off x="7622255"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Nièvre (58)</a:t>
          </a:r>
          <a:r>
            <a:rPr lang="fr-FR" sz="900">
              <a:solidFill>
                <a:schemeClr val="tx1"/>
              </a:solidFill>
            </a:rPr>
            <a:t> </a:t>
          </a:r>
        </a:p>
      </xdr:txBody>
    </xdr:sp>
    <xdr:clientData/>
  </xdr:twoCellAnchor>
  <xdr:twoCellAnchor>
    <xdr:from>
      <xdr:col>3</xdr:col>
      <xdr:colOff>1820086</xdr:colOff>
      <xdr:row>0</xdr:row>
      <xdr:rowOff>91440</xdr:rowOff>
    </xdr:from>
    <xdr:to>
      <xdr:col>4</xdr:col>
      <xdr:colOff>808646</xdr:colOff>
      <xdr:row>0</xdr:row>
      <xdr:rowOff>608443</xdr:rowOff>
    </xdr:to>
    <xdr:sp macro="" textlink="">
      <xdr:nvSpPr>
        <xdr:cNvPr id="31" name="Flèche : chevron 30">
          <a:hlinkClick xmlns:r="http://schemas.openxmlformats.org/officeDocument/2006/relationships" r:id="rId5"/>
          <a:extLst>
            <a:ext uri="{FF2B5EF4-FFF2-40B4-BE49-F238E27FC236}">
              <a16:creationId xmlns:a16="http://schemas.microsoft.com/office/drawing/2014/main" id="{DF661B68-DF10-402F-A9C7-191C06A064DB}"/>
            </a:ext>
          </a:extLst>
        </xdr:cNvPr>
        <xdr:cNvSpPr/>
      </xdr:nvSpPr>
      <xdr:spPr>
        <a:xfrm>
          <a:off x="4603926" y="91440"/>
          <a:ext cx="1620000" cy="517003"/>
        </a:xfrm>
        <a:prstGeom prst="chevron">
          <a:avLst/>
        </a:prstGeom>
        <a:solidFill>
          <a:srgbClr val="B887D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effectLst/>
              <a:latin typeface="+mn-lt"/>
              <a:ea typeface="+mn-ea"/>
              <a:cs typeface="+mn-cs"/>
            </a:rPr>
            <a:t>Doubs (25)</a:t>
          </a:r>
          <a:endParaRPr lang="fr-FR" sz="900">
            <a:solidFill>
              <a:schemeClr val="tx1"/>
            </a:solidFill>
            <a:effectLst/>
          </a:endParaRPr>
        </a:p>
      </xdr:txBody>
    </xdr:sp>
    <xdr:clientData/>
  </xdr:twoCellAnchor>
  <xdr:twoCellAnchor>
    <xdr:from>
      <xdr:col>5</xdr:col>
      <xdr:colOff>1923295</xdr:colOff>
      <xdr:row>0</xdr:row>
      <xdr:rowOff>91440</xdr:rowOff>
    </xdr:from>
    <xdr:to>
      <xdr:col>6</xdr:col>
      <xdr:colOff>1155695</xdr:colOff>
      <xdr:row>0</xdr:row>
      <xdr:rowOff>608443</xdr:rowOff>
    </xdr:to>
    <xdr:sp macro="" textlink="">
      <xdr:nvSpPr>
        <xdr:cNvPr id="32" name="Flèche : chevron 31">
          <a:hlinkClick xmlns:r="http://schemas.openxmlformats.org/officeDocument/2006/relationships" r:id="rId6"/>
          <a:extLst>
            <a:ext uri="{FF2B5EF4-FFF2-40B4-BE49-F238E27FC236}">
              <a16:creationId xmlns:a16="http://schemas.microsoft.com/office/drawing/2014/main" id="{FD65702E-4EA7-4E35-8E14-DA6726A99EFE}"/>
            </a:ext>
          </a:extLst>
        </xdr:cNvPr>
        <xdr:cNvSpPr/>
      </xdr:nvSpPr>
      <xdr:spPr>
        <a:xfrm>
          <a:off x="9106415"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Haute-Saône (70)</a:t>
          </a:r>
        </a:p>
      </xdr:txBody>
    </xdr:sp>
    <xdr:clientData/>
  </xdr:twoCellAnchor>
  <xdr:twoCellAnchor>
    <xdr:from>
      <xdr:col>3</xdr:col>
      <xdr:colOff>281799</xdr:colOff>
      <xdr:row>0</xdr:row>
      <xdr:rowOff>91440</xdr:rowOff>
    </xdr:from>
    <xdr:to>
      <xdr:col>3</xdr:col>
      <xdr:colOff>1901799</xdr:colOff>
      <xdr:row>0</xdr:row>
      <xdr:rowOff>608443</xdr:rowOff>
    </xdr:to>
    <xdr:sp macro="" textlink="">
      <xdr:nvSpPr>
        <xdr:cNvPr id="33" name="Flèche : chevron 32">
          <a:hlinkClick xmlns:r="http://schemas.openxmlformats.org/officeDocument/2006/relationships" r:id="rId7"/>
          <a:extLst>
            <a:ext uri="{FF2B5EF4-FFF2-40B4-BE49-F238E27FC236}">
              <a16:creationId xmlns:a16="http://schemas.microsoft.com/office/drawing/2014/main" id="{CA992EE5-48AE-4A25-8533-4FD79BFCA6F2}"/>
            </a:ext>
          </a:extLst>
        </xdr:cNvPr>
        <xdr:cNvSpPr/>
      </xdr:nvSpPr>
      <xdr:spPr>
        <a:xfrm>
          <a:off x="3065639"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0">
              <a:solidFill>
                <a:schemeClr val="tx1"/>
              </a:solidFill>
            </a:rPr>
            <a:t>Côte-d'Or (21)</a:t>
          </a:r>
        </a:p>
      </xdr:txBody>
    </xdr:sp>
    <xdr:clientData/>
  </xdr:twoCellAnchor>
  <xdr:twoCellAnchor>
    <xdr:from>
      <xdr:col>6</xdr:col>
      <xdr:colOff>1025981</xdr:colOff>
      <xdr:row>0</xdr:row>
      <xdr:rowOff>91440</xdr:rowOff>
    </xdr:from>
    <xdr:to>
      <xdr:col>7</xdr:col>
      <xdr:colOff>492061</xdr:colOff>
      <xdr:row>0</xdr:row>
      <xdr:rowOff>608443</xdr:rowOff>
    </xdr:to>
    <xdr:sp macro="" textlink="">
      <xdr:nvSpPr>
        <xdr:cNvPr id="34" name="Flèche : chevron 33">
          <a:hlinkClick xmlns:r="http://schemas.openxmlformats.org/officeDocument/2006/relationships" r:id="rId8"/>
          <a:extLst>
            <a:ext uri="{FF2B5EF4-FFF2-40B4-BE49-F238E27FC236}">
              <a16:creationId xmlns:a16="http://schemas.microsoft.com/office/drawing/2014/main" id="{3E9D7891-5BF4-42EF-8515-7548C2A5A766}"/>
            </a:ext>
          </a:extLst>
        </xdr:cNvPr>
        <xdr:cNvSpPr/>
      </xdr:nvSpPr>
      <xdr:spPr>
        <a:xfrm>
          <a:off x="10596701"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Saône-et-Loire (71)</a:t>
          </a:r>
        </a:p>
      </xdr:txBody>
    </xdr:sp>
    <xdr:clientData/>
  </xdr:twoCellAnchor>
  <xdr:twoCellAnchor>
    <xdr:from>
      <xdr:col>7</xdr:col>
      <xdr:colOff>347738</xdr:colOff>
      <xdr:row>0</xdr:row>
      <xdr:rowOff>91440</xdr:rowOff>
    </xdr:from>
    <xdr:to>
      <xdr:col>8</xdr:col>
      <xdr:colOff>575818</xdr:colOff>
      <xdr:row>0</xdr:row>
      <xdr:rowOff>608443</xdr:rowOff>
    </xdr:to>
    <xdr:sp macro="" textlink="">
      <xdr:nvSpPr>
        <xdr:cNvPr id="35" name="Flèche : chevron 34">
          <a:hlinkClick xmlns:r="http://schemas.openxmlformats.org/officeDocument/2006/relationships" r:id="rId9"/>
          <a:extLst>
            <a:ext uri="{FF2B5EF4-FFF2-40B4-BE49-F238E27FC236}">
              <a16:creationId xmlns:a16="http://schemas.microsoft.com/office/drawing/2014/main" id="{B0FD2384-529B-498F-B849-8CC7A928E630}"/>
            </a:ext>
          </a:extLst>
        </xdr:cNvPr>
        <xdr:cNvSpPr/>
      </xdr:nvSpPr>
      <xdr:spPr>
        <a:xfrm>
          <a:off x="12072378"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Yonne (89)</a:t>
          </a:r>
        </a:p>
      </xdr:txBody>
    </xdr:sp>
    <xdr:clientData/>
  </xdr:twoCellAnchor>
  <xdr:twoCellAnchor>
    <xdr:from>
      <xdr:col>8</xdr:col>
      <xdr:colOff>436817</xdr:colOff>
      <xdr:row>0</xdr:row>
      <xdr:rowOff>91440</xdr:rowOff>
    </xdr:from>
    <xdr:to>
      <xdr:col>8</xdr:col>
      <xdr:colOff>2056817</xdr:colOff>
      <xdr:row>0</xdr:row>
      <xdr:rowOff>608443</xdr:rowOff>
    </xdr:to>
    <xdr:sp macro="" textlink="">
      <xdr:nvSpPr>
        <xdr:cNvPr id="36" name="Flèche : chevron 35">
          <a:hlinkClick xmlns:r="http://schemas.openxmlformats.org/officeDocument/2006/relationships" r:id="rId10"/>
          <a:extLst>
            <a:ext uri="{FF2B5EF4-FFF2-40B4-BE49-F238E27FC236}">
              <a16:creationId xmlns:a16="http://schemas.microsoft.com/office/drawing/2014/main" id="{0BD7BA9A-8F8E-41A0-A9DC-64D0F729041C}"/>
            </a:ext>
          </a:extLst>
        </xdr:cNvPr>
        <xdr:cNvSpPr/>
      </xdr:nvSpPr>
      <xdr:spPr>
        <a:xfrm>
          <a:off x="13553377"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Territoire</a:t>
          </a:r>
          <a:r>
            <a:rPr lang="fr-FR" sz="900" b="1" baseline="0">
              <a:solidFill>
                <a:schemeClr val="tx1"/>
              </a:solidFill>
            </a:rPr>
            <a:t> de Belfort (90)</a:t>
          </a:r>
          <a:endParaRPr lang="fr-FR" sz="900" b="1">
            <a:solidFill>
              <a:schemeClr val="tx1"/>
            </a:solidFill>
          </a:endParaRPr>
        </a:p>
      </xdr:txBody>
    </xdr:sp>
    <xdr:clientData/>
  </xdr:twoCellAnchor>
  <xdr:twoCellAnchor>
    <xdr:from>
      <xdr:col>8</xdr:col>
      <xdr:colOff>1923687</xdr:colOff>
      <xdr:row>0</xdr:row>
      <xdr:rowOff>91440</xdr:rowOff>
    </xdr:from>
    <xdr:to>
      <xdr:col>9</xdr:col>
      <xdr:colOff>1115447</xdr:colOff>
      <xdr:row>0</xdr:row>
      <xdr:rowOff>608443</xdr:rowOff>
    </xdr:to>
    <xdr:sp macro="" textlink="">
      <xdr:nvSpPr>
        <xdr:cNvPr id="37" name="Flèche : chevron 36">
          <a:hlinkClick xmlns:r="http://schemas.openxmlformats.org/officeDocument/2006/relationships" r:id="rId11"/>
          <a:extLst>
            <a:ext uri="{FF2B5EF4-FFF2-40B4-BE49-F238E27FC236}">
              <a16:creationId xmlns:a16="http://schemas.microsoft.com/office/drawing/2014/main" id="{35757D2E-CCB4-4758-96B9-E88A569089D9}"/>
            </a:ext>
          </a:extLst>
        </xdr:cNvPr>
        <xdr:cNvSpPr/>
      </xdr:nvSpPr>
      <xdr:spPr>
        <a:xfrm>
          <a:off x="15040247"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Intervention</a:t>
          </a:r>
          <a:r>
            <a:rPr lang="fr-FR" sz="900" b="1" baseline="0">
              <a:solidFill>
                <a:schemeClr val="tx1"/>
              </a:solidFill>
            </a:rPr>
            <a:t> en Nord-Franche-Comté</a:t>
          </a:r>
          <a:endParaRPr lang="fr-FR" sz="900" b="1">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90055</xdr:colOff>
      <xdr:row>0</xdr:row>
      <xdr:rowOff>126076</xdr:rowOff>
    </xdr:from>
    <xdr:to>
      <xdr:col>0</xdr:col>
      <xdr:colOff>907635</xdr:colOff>
      <xdr:row>0</xdr:row>
      <xdr:rowOff>636295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1F4F1D-EF70-493A-AD32-C639443F7443}"/>
            </a:ext>
          </a:extLst>
        </xdr:cNvPr>
        <xdr:cNvSpPr/>
      </xdr:nvSpPr>
      <xdr:spPr>
        <a:xfrm>
          <a:off x="90055" y="126076"/>
          <a:ext cx="817580" cy="51021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t>Retour au sommaire </a:t>
          </a:r>
        </a:p>
      </xdr:txBody>
    </xdr:sp>
    <xdr:clientData/>
  </xdr:twoCellAnchor>
  <xdr:twoCellAnchor>
    <xdr:from>
      <xdr:col>13</xdr:col>
      <xdr:colOff>1968137</xdr:colOff>
      <xdr:row>0</xdr:row>
      <xdr:rowOff>0</xdr:rowOff>
    </xdr:from>
    <xdr:to>
      <xdr:col>14</xdr:col>
      <xdr:colOff>447502</xdr:colOff>
      <xdr:row>0</xdr:row>
      <xdr:rowOff>709353</xdr:rowOff>
    </xdr:to>
    <xdr:sp macro="" textlink="">
      <xdr:nvSpPr>
        <xdr:cNvPr id="3" name="Flèche : pentagone 2">
          <a:extLst>
            <a:ext uri="{FF2B5EF4-FFF2-40B4-BE49-F238E27FC236}">
              <a16:creationId xmlns:a16="http://schemas.microsoft.com/office/drawing/2014/main" id="{EAB775BF-74B2-46BD-96F4-F5AB743BB122}"/>
            </a:ext>
          </a:extLst>
        </xdr:cNvPr>
        <xdr:cNvSpPr/>
      </xdr:nvSpPr>
      <xdr:spPr>
        <a:xfrm>
          <a:off x="24296914" y="0"/>
          <a:ext cx="560714" cy="709353"/>
        </a:xfrm>
        <a:prstGeom prst="homePlate">
          <a:avLst/>
        </a:prstGeom>
        <a:solidFill>
          <a:srgbClr val="DCC5ED"/>
        </a:solidFill>
        <a:ln>
          <a:solidFill>
            <a:srgbClr val="DCC5E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55418</xdr:colOff>
      <xdr:row>0</xdr:row>
      <xdr:rowOff>99753</xdr:rowOff>
    </xdr:from>
    <xdr:to>
      <xdr:col>2</xdr:col>
      <xdr:colOff>1673571</xdr:colOff>
      <xdr:row>0</xdr:row>
      <xdr:rowOff>616755</xdr:rowOff>
    </xdr:to>
    <xdr:sp macro="" textlink="">
      <xdr:nvSpPr>
        <xdr:cNvPr id="33" name="Flèche : pentagone 32">
          <a:hlinkClick xmlns:r="http://schemas.openxmlformats.org/officeDocument/2006/relationships" r:id="rId2"/>
          <a:extLst>
            <a:ext uri="{FF2B5EF4-FFF2-40B4-BE49-F238E27FC236}">
              <a16:creationId xmlns:a16="http://schemas.microsoft.com/office/drawing/2014/main" id="{124F9418-1D4D-4A75-8DB5-7B10AC22256D}"/>
            </a:ext>
          </a:extLst>
        </xdr:cNvPr>
        <xdr:cNvSpPr/>
      </xdr:nvSpPr>
      <xdr:spPr>
        <a:xfrm>
          <a:off x="1640378" y="99753"/>
          <a:ext cx="1618153" cy="517002"/>
        </a:xfrm>
        <a:prstGeom prst="homePlate">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chemeClr val="tx1"/>
              </a:solidFill>
            </a:rPr>
            <a:t>Toutes les structures de</a:t>
          </a:r>
          <a:r>
            <a:rPr lang="fr-FR" sz="1100" b="0" baseline="0">
              <a:solidFill>
                <a:schemeClr val="tx1"/>
              </a:solidFill>
            </a:rPr>
            <a:t> la région</a:t>
          </a:r>
          <a:endParaRPr lang="fr-FR" sz="1100" b="0">
            <a:solidFill>
              <a:schemeClr val="tx1"/>
            </a:solidFill>
          </a:endParaRPr>
        </a:p>
      </xdr:txBody>
    </xdr:sp>
    <xdr:clientData/>
  </xdr:twoCellAnchor>
  <xdr:twoCellAnchor>
    <xdr:from>
      <xdr:col>3</xdr:col>
      <xdr:colOff>2472307</xdr:colOff>
      <xdr:row>0</xdr:row>
      <xdr:rowOff>99753</xdr:rowOff>
    </xdr:from>
    <xdr:to>
      <xdr:col>4</xdr:col>
      <xdr:colOff>1415609</xdr:colOff>
      <xdr:row>0</xdr:row>
      <xdr:rowOff>616756</xdr:rowOff>
    </xdr:to>
    <xdr:sp macro="" textlink="">
      <xdr:nvSpPr>
        <xdr:cNvPr id="34" name="Flèche : chevron 33">
          <a:hlinkClick xmlns:r="http://schemas.openxmlformats.org/officeDocument/2006/relationships" r:id="rId3"/>
          <a:extLst>
            <a:ext uri="{FF2B5EF4-FFF2-40B4-BE49-F238E27FC236}">
              <a16:creationId xmlns:a16="http://schemas.microsoft.com/office/drawing/2014/main" id="{700FDC8B-F1E7-4023-A5EA-4F44C3D7F61F}"/>
            </a:ext>
          </a:extLst>
        </xdr:cNvPr>
        <xdr:cNvSpPr/>
      </xdr:nvSpPr>
      <xdr:spPr>
        <a:xfrm>
          <a:off x="6118823" y="99753"/>
          <a:ext cx="1625542"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Jura (39)</a:t>
          </a:r>
        </a:p>
      </xdr:txBody>
    </xdr:sp>
    <xdr:clientData/>
  </xdr:twoCellAnchor>
  <xdr:twoCellAnchor>
    <xdr:from>
      <xdr:col>4</xdr:col>
      <xdr:colOff>1348917</xdr:colOff>
      <xdr:row>0</xdr:row>
      <xdr:rowOff>99753</xdr:rowOff>
    </xdr:from>
    <xdr:to>
      <xdr:col>5</xdr:col>
      <xdr:colOff>1192764</xdr:colOff>
      <xdr:row>0</xdr:row>
      <xdr:rowOff>616756</xdr:rowOff>
    </xdr:to>
    <xdr:sp macro="" textlink="">
      <xdr:nvSpPr>
        <xdr:cNvPr id="35" name="Flèche : chevron 34">
          <a:hlinkClick xmlns:r="http://schemas.openxmlformats.org/officeDocument/2006/relationships" r:id="rId4"/>
          <a:extLst>
            <a:ext uri="{FF2B5EF4-FFF2-40B4-BE49-F238E27FC236}">
              <a16:creationId xmlns:a16="http://schemas.microsoft.com/office/drawing/2014/main" id="{6EBA1C5F-C7D4-422F-B133-29683F1B5455}"/>
            </a:ext>
          </a:extLst>
        </xdr:cNvPr>
        <xdr:cNvSpPr/>
      </xdr:nvSpPr>
      <xdr:spPr>
        <a:xfrm>
          <a:off x="7677673" y="99753"/>
          <a:ext cx="1617229"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Nièvre (58)</a:t>
          </a:r>
          <a:r>
            <a:rPr lang="fr-FR" sz="900">
              <a:solidFill>
                <a:schemeClr val="tx1"/>
              </a:solidFill>
            </a:rPr>
            <a:t> </a:t>
          </a:r>
        </a:p>
      </xdr:txBody>
    </xdr:sp>
    <xdr:clientData/>
  </xdr:twoCellAnchor>
  <xdr:twoCellAnchor>
    <xdr:from>
      <xdr:col>3</xdr:col>
      <xdr:colOff>1000821</xdr:colOff>
      <xdr:row>0</xdr:row>
      <xdr:rowOff>99753</xdr:rowOff>
    </xdr:from>
    <xdr:to>
      <xdr:col>3</xdr:col>
      <xdr:colOff>2627286</xdr:colOff>
      <xdr:row>0</xdr:row>
      <xdr:rowOff>616756</xdr:rowOff>
    </xdr:to>
    <xdr:sp macro="" textlink="">
      <xdr:nvSpPr>
        <xdr:cNvPr id="36" name="Flèche : chevron 35">
          <a:hlinkClick xmlns:r="http://schemas.openxmlformats.org/officeDocument/2006/relationships" r:id="rId5"/>
          <a:extLst>
            <a:ext uri="{FF2B5EF4-FFF2-40B4-BE49-F238E27FC236}">
              <a16:creationId xmlns:a16="http://schemas.microsoft.com/office/drawing/2014/main" id="{FBF4F1DF-9B7E-4CD5-BC6A-5BEC3784CDA2}"/>
            </a:ext>
          </a:extLst>
        </xdr:cNvPr>
        <xdr:cNvSpPr/>
      </xdr:nvSpPr>
      <xdr:spPr>
        <a:xfrm>
          <a:off x="4647337" y="99753"/>
          <a:ext cx="1626465"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effectLst/>
              <a:latin typeface="+mn-lt"/>
              <a:ea typeface="+mn-ea"/>
              <a:cs typeface="+mn-cs"/>
            </a:rPr>
            <a:t>Doubs (25)</a:t>
          </a:r>
          <a:endParaRPr lang="fr-FR" sz="900">
            <a:solidFill>
              <a:schemeClr val="tx1"/>
            </a:solidFill>
            <a:effectLst/>
          </a:endParaRPr>
        </a:p>
      </xdr:txBody>
    </xdr:sp>
    <xdr:clientData/>
  </xdr:twoCellAnchor>
  <xdr:twoCellAnchor>
    <xdr:from>
      <xdr:col>5</xdr:col>
      <xdr:colOff>1056924</xdr:colOff>
      <xdr:row>0</xdr:row>
      <xdr:rowOff>99753</xdr:rowOff>
    </xdr:from>
    <xdr:to>
      <xdr:col>6</xdr:col>
      <xdr:colOff>803789</xdr:colOff>
      <xdr:row>0</xdr:row>
      <xdr:rowOff>616756</xdr:rowOff>
    </xdr:to>
    <xdr:sp macro="" textlink="">
      <xdr:nvSpPr>
        <xdr:cNvPr id="37" name="Flèche : chevron 36">
          <a:hlinkClick xmlns:r="http://schemas.openxmlformats.org/officeDocument/2006/relationships" r:id="rId6"/>
          <a:extLst>
            <a:ext uri="{FF2B5EF4-FFF2-40B4-BE49-F238E27FC236}">
              <a16:creationId xmlns:a16="http://schemas.microsoft.com/office/drawing/2014/main" id="{F6E43F84-01C7-4402-BA79-619D27178AAC}"/>
            </a:ext>
          </a:extLst>
        </xdr:cNvPr>
        <xdr:cNvSpPr/>
      </xdr:nvSpPr>
      <xdr:spPr>
        <a:xfrm>
          <a:off x="9159062" y="99753"/>
          <a:ext cx="1620000" cy="517003"/>
        </a:xfrm>
        <a:prstGeom prst="chevron">
          <a:avLst/>
        </a:prstGeom>
        <a:solidFill>
          <a:srgbClr val="B887D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Haute-Saône (70)</a:t>
          </a:r>
        </a:p>
      </xdr:txBody>
    </xdr:sp>
    <xdr:clientData/>
  </xdr:twoCellAnchor>
  <xdr:twoCellAnchor>
    <xdr:from>
      <xdr:col>2</xdr:col>
      <xdr:colOff>1524090</xdr:colOff>
      <xdr:row>0</xdr:row>
      <xdr:rowOff>99753</xdr:rowOff>
    </xdr:from>
    <xdr:to>
      <xdr:col>3</xdr:col>
      <xdr:colOff>1082534</xdr:colOff>
      <xdr:row>0</xdr:row>
      <xdr:rowOff>616756</xdr:rowOff>
    </xdr:to>
    <xdr:sp macro="" textlink="">
      <xdr:nvSpPr>
        <xdr:cNvPr id="38" name="Flèche : chevron 37">
          <a:hlinkClick xmlns:r="http://schemas.openxmlformats.org/officeDocument/2006/relationships" r:id="rId7"/>
          <a:extLst>
            <a:ext uri="{FF2B5EF4-FFF2-40B4-BE49-F238E27FC236}">
              <a16:creationId xmlns:a16="http://schemas.microsoft.com/office/drawing/2014/main" id="{F44DFE6D-4EC6-499A-A724-DF0A9668FA6F}"/>
            </a:ext>
          </a:extLst>
        </xdr:cNvPr>
        <xdr:cNvSpPr/>
      </xdr:nvSpPr>
      <xdr:spPr>
        <a:xfrm>
          <a:off x="3109050" y="99753"/>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0">
              <a:solidFill>
                <a:schemeClr val="tx1"/>
              </a:solidFill>
            </a:rPr>
            <a:t>Côte-d'Or (21)</a:t>
          </a:r>
        </a:p>
      </xdr:txBody>
    </xdr:sp>
    <xdr:clientData/>
  </xdr:twoCellAnchor>
  <xdr:twoCellAnchor>
    <xdr:from>
      <xdr:col>6</xdr:col>
      <xdr:colOff>674075</xdr:colOff>
      <xdr:row>0</xdr:row>
      <xdr:rowOff>99753</xdr:rowOff>
    </xdr:from>
    <xdr:to>
      <xdr:col>7</xdr:col>
      <xdr:colOff>140155</xdr:colOff>
      <xdr:row>0</xdr:row>
      <xdr:rowOff>616756</xdr:rowOff>
    </xdr:to>
    <xdr:sp macro="" textlink="">
      <xdr:nvSpPr>
        <xdr:cNvPr id="39" name="Flèche : chevron 38">
          <a:hlinkClick xmlns:r="http://schemas.openxmlformats.org/officeDocument/2006/relationships" r:id="rId8"/>
          <a:extLst>
            <a:ext uri="{FF2B5EF4-FFF2-40B4-BE49-F238E27FC236}">
              <a16:creationId xmlns:a16="http://schemas.microsoft.com/office/drawing/2014/main" id="{FB97C527-35CF-44F7-809E-C6C19B59FC71}"/>
            </a:ext>
          </a:extLst>
        </xdr:cNvPr>
        <xdr:cNvSpPr/>
      </xdr:nvSpPr>
      <xdr:spPr>
        <a:xfrm>
          <a:off x="10649348" y="99753"/>
          <a:ext cx="1627389"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Saône-et-Loire (71)</a:t>
          </a:r>
        </a:p>
      </xdr:txBody>
    </xdr:sp>
    <xdr:clientData/>
  </xdr:twoCellAnchor>
  <xdr:twoCellAnchor>
    <xdr:from>
      <xdr:col>6</xdr:col>
      <xdr:colOff>2157141</xdr:colOff>
      <xdr:row>0</xdr:row>
      <xdr:rowOff>99753</xdr:rowOff>
    </xdr:from>
    <xdr:to>
      <xdr:col>7</xdr:col>
      <xdr:colOff>1609367</xdr:colOff>
      <xdr:row>0</xdr:row>
      <xdr:rowOff>616756</xdr:rowOff>
    </xdr:to>
    <xdr:sp macro="" textlink="">
      <xdr:nvSpPr>
        <xdr:cNvPr id="40" name="Flèche : chevron 39">
          <a:hlinkClick xmlns:r="http://schemas.openxmlformats.org/officeDocument/2006/relationships" r:id="rId9"/>
          <a:extLst>
            <a:ext uri="{FF2B5EF4-FFF2-40B4-BE49-F238E27FC236}">
              <a16:creationId xmlns:a16="http://schemas.microsoft.com/office/drawing/2014/main" id="{62F40101-6305-4BC0-BECC-C727CA70CAE6}"/>
            </a:ext>
          </a:extLst>
        </xdr:cNvPr>
        <xdr:cNvSpPr/>
      </xdr:nvSpPr>
      <xdr:spPr>
        <a:xfrm>
          <a:off x="12132414" y="99753"/>
          <a:ext cx="1613535"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Yonne (89)</a:t>
          </a:r>
        </a:p>
      </xdr:txBody>
    </xdr:sp>
    <xdr:clientData/>
  </xdr:twoCellAnchor>
  <xdr:twoCellAnchor>
    <xdr:from>
      <xdr:col>7</xdr:col>
      <xdr:colOff>1470366</xdr:colOff>
      <xdr:row>0</xdr:row>
      <xdr:rowOff>99753</xdr:rowOff>
    </xdr:from>
    <xdr:to>
      <xdr:col>8</xdr:col>
      <xdr:colOff>1050053</xdr:colOff>
      <xdr:row>0</xdr:row>
      <xdr:rowOff>616756</xdr:rowOff>
    </xdr:to>
    <xdr:sp macro="" textlink="">
      <xdr:nvSpPr>
        <xdr:cNvPr id="41" name="Flèche : chevron 40">
          <a:hlinkClick xmlns:r="http://schemas.openxmlformats.org/officeDocument/2006/relationships" r:id="rId10"/>
          <a:extLst>
            <a:ext uri="{FF2B5EF4-FFF2-40B4-BE49-F238E27FC236}">
              <a16:creationId xmlns:a16="http://schemas.microsoft.com/office/drawing/2014/main" id="{8951BD00-3400-4FE2-A45B-C945A3B259FF}"/>
            </a:ext>
          </a:extLst>
        </xdr:cNvPr>
        <xdr:cNvSpPr/>
      </xdr:nvSpPr>
      <xdr:spPr>
        <a:xfrm>
          <a:off x="13606948" y="99753"/>
          <a:ext cx="1619076"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Territoire</a:t>
          </a:r>
          <a:r>
            <a:rPr lang="fr-FR" sz="900" b="1" baseline="0">
              <a:solidFill>
                <a:schemeClr val="tx1"/>
              </a:solidFill>
            </a:rPr>
            <a:t> de Belfort (90)</a:t>
          </a:r>
          <a:endParaRPr lang="fr-FR" sz="900" b="1">
            <a:solidFill>
              <a:schemeClr val="tx1"/>
            </a:solidFill>
          </a:endParaRPr>
        </a:p>
      </xdr:txBody>
    </xdr:sp>
    <xdr:clientData/>
  </xdr:twoCellAnchor>
  <xdr:twoCellAnchor>
    <xdr:from>
      <xdr:col>8</xdr:col>
      <xdr:colOff>916923</xdr:colOff>
      <xdr:row>0</xdr:row>
      <xdr:rowOff>99753</xdr:rowOff>
    </xdr:from>
    <xdr:to>
      <xdr:col>10</xdr:col>
      <xdr:colOff>133621</xdr:colOff>
      <xdr:row>0</xdr:row>
      <xdr:rowOff>616756</xdr:rowOff>
    </xdr:to>
    <xdr:sp macro="" textlink="">
      <xdr:nvSpPr>
        <xdr:cNvPr id="42" name="Flèche : chevron 41">
          <a:hlinkClick xmlns:r="http://schemas.openxmlformats.org/officeDocument/2006/relationships" r:id="rId11"/>
          <a:extLst>
            <a:ext uri="{FF2B5EF4-FFF2-40B4-BE49-F238E27FC236}">
              <a16:creationId xmlns:a16="http://schemas.microsoft.com/office/drawing/2014/main" id="{BE481399-84CA-4853-AB34-2E3850F0D42F}"/>
            </a:ext>
          </a:extLst>
        </xdr:cNvPr>
        <xdr:cNvSpPr/>
      </xdr:nvSpPr>
      <xdr:spPr>
        <a:xfrm>
          <a:off x="15092894" y="99753"/>
          <a:ext cx="1621847"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Intervention</a:t>
          </a:r>
          <a:r>
            <a:rPr lang="fr-FR" sz="900" b="1" baseline="0">
              <a:solidFill>
                <a:schemeClr val="tx1"/>
              </a:solidFill>
            </a:rPr>
            <a:t> en Nord-Franche-Comté</a:t>
          </a:r>
          <a:endParaRPr lang="fr-FR" sz="900" b="1">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90055</xdr:colOff>
      <xdr:row>0</xdr:row>
      <xdr:rowOff>126076</xdr:rowOff>
    </xdr:from>
    <xdr:to>
      <xdr:col>0</xdr:col>
      <xdr:colOff>907635</xdr:colOff>
      <xdr:row>0</xdr:row>
      <xdr:rowOff>636295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87FB909-4764-4898-A503-D8A9E7A2F823}"/>
            </a:ext>
          </a:extLst>
        </xdr:cNvPr>
        <xdr:cNvSpPr/>
      </xdr:nvSpPr>
      <xdr:spPr>
        <a:xfrm>
          <a:off x="90055" y="126076"/>
          <a:ext cx="817580" cy="51021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t>Retour au sommaire </a:t>
          </a:r>
        </a:p>
      </xdr:txBody>
    </xdr:sp>
    <xdr:clientData/>
  </xdr:twoCellAnchor>
  <xdr:twoCellAnchor>
    <xdr:from>
      <xdr:col>13</xdr:col>
      <xdr:colOff>1534160</xdr:colOff>
      <xdr:row>0</xdr:row>
      <xdr:rowOff>0</xdr:rowOff>
    </xdr:from>
    <xdr:to>
      <xdr:col>14</xdr:col>
      <xdr:colOff>188422</xdr:colOff>
      <xdr:row>0</xdr:row>
      <xdr:rowOff>709353</xdr:rowOff>
    </xdr:to>
    <xdr:sp macro="" textlink="">
      <xdr:nvSpPr>
        <xdr:cNvPr id="3" name="Flèche : pentagone 2">
          <a:extLst>
            <a:ext uri="{FF2B5EF4-FFF2-40B4-BE49-F238E27FC236}">
              <a16:creationId xmlns:a16="http://schemas.microsoft.com/office/drawing/2014/main" id="{90470AB3-3093-4BD2-8D85-15A94861C617}"/>
            </a:ext>
          </a:extLst>
        </xdr:cNvPr>
        <xdr:cNvSpPr/>
      </xdr:nvSpPr>
      <xdr:spPr>
        <a:xfrm>
          <a:off x="19060160" y="0"/>
          <a:ext cx="229062" cy="709353"/>
        </a:xfrm>
        <a:prstGeom prst="homePlate">
          <a:avLst/>
        </a:prstGeom>
        <a:solidFill>
          <a:srgbClr val="DCC5ED"/>
        </a:solidFill>
        <a:ln>
          <a:solidFill>
            <a:srgbClr val="DCC5E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30480</xdr:colOff>
      <xdr:row>0</xdr:row>
      <xdr:rowOff>111760</xdr:rowOff>
    </xdr:from>
    <xdr:to>
      <xdr:col>2</xdr:col>
      <xdr:colOff>1650480</xdr:colOff>
      <xdr:row>0</xdr:row>
      <xdr:rowOff>628762</xdr:rowOff>
    </xdr:to>
    <xdr:sp macro="" textlink="">
      <xdr:nvSpPr>
        <xdr:cNvPr id="13" name="Flèche : pentagone 12">
          <a:hlinkClick xmlns:r="http://schemas.openxmlformats.org/officeDocument/2006/relationships" r:id="rId2"/>
          <a:extLst>
            <a:ext uri="{FF2B5EF4-FFF2-40B4-BE49-F238E27FC236}">
              <a16:creationId xmlns:a16="http://schemas.microsoft.com/office/drawing/2014/main" id="{460C1D97-991C-4C6E-BA58-5B47CBB231EC}"/>
            </a:ext>
          </a:extLst>
        </xdr:cNvPr>
        <xdr:cNvSpPr/>
      </xdr:nvSpPr>
      <xdr:spPr>
        <a:xfrm>
          <a:off x="1615440" y="111760"/>
          <a:ext cx="1620000" cy="517002"/>
        </a:xfrm>
        <a:prstGeom prst="homePlate">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chemeClr val="tx1"/>
              </a:solidFill>
            </a:rPr>
            <a:t>Toutes les structures de</a:t>
          </a:r>
          <a:r>
            <a:rPr lang="fr-FR" sz="1100" b="0" baseline="0">
              <a:solidFill>
                <a:schemeClr val="tx1"/>
              </a:solidFill>
            </a:rPr>
            <a:t> la région</a:t>
          </a:r>
          <a:endParaRPr lang="fr-FR" sz="1100" b="0">
            <a:solidFill>
              <a:schemeClr val="tx1"/>
            </a:solidFill>
          </a:endParaRPr>
        </a:p>
      </xdr:txBody>
    </xdr:sp>
    <xdr:clientData/>
  </xdr:twoCellAnchor>
  <xdr:twoCellAnchor>
    <xdr:from>
      <xdr:col>3</xdr:col>
      <xdr:colOff>2319907</xdr:colOff>
      <xdr:row>0</xdr:row>
      <xdr:rowOff>111760</xdr:rowOff>
    </xdr:from>
    <xdr:to>
      <xdr:col>4</xdr:col>
      <xdr:colOff>1308467</xdr:colOff>
      <xdr:row>0</xdr:row>
      <xdr:rowOff>628763</xdr:rowOff>
    </xdr:to>
    <xdr:sp macro="" textlink="">
      <xdr:nvSpPr>
        <xdr:cNvPr id="14" name="Flèche : chevron 13">
          <a:hlinkClick xmlns:r="http://schemas.openxmlformats.org/officeDocument/2006/relationships" r:id="rId3"/>
          <a:extLst>
            <a:ext uri="{FF2B5EF4-FFF2-40B4-BE49-F238E27FC236}">
              <a16:creationId xmlns:a16="http://schemas.microsoft.com/office/drawing/2014/main" id="{07B26116-AD06-42B0-B5E6-4D7BC645D8FE}"/>
            </a:ext>
          </a:extLst>
        </xdr:cNvPr>
        <xdr:cNvSpPr/>
      </xdr:nvSpPr>
      <xdr:spPr>
        <a:xfrm>
          <a:off x="6089267" y="11176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Jura (39)</a:t>
          </a:r>
        </a:p>
      </xdr:txBody>
    </xdr:sp>
    <xdr:clientData/>
  </xdr:twoCellAnchor>
  <xdr:twoCellAnchor>
    <xdr:from>
      <xdr:col>4</xdr:col>
      <xdr:colOff>1241775</xdr:colOff>
      <xdr:row>0</xdr:row>
      <xdr:rowOff>111760</xdr:rowOff>
    </xdr:from>
    <xdr:to>
      <xdr:col>5</xdr:col>
      <xdr:colOff>1093935</xdr:colOff>
      <xdr:row>0</xdr:row>
      <xdr:rowOff>628763</xdr:rowOff>
    </xdr:to>
    <xdr:sp macro="" textlink="">
      <xdr:nvSpPr>
        <xdr:cNvPr id="15" name="Flèche : chevron 14">
          <a:hlinkClick xmlns:r="http://schemas.openxmlformats.org/officeDocument/2006/relationships" r:id="rId4"/>
          <a:extLst>
            <a:ext uri="{FF2B5EF4-FFF2-40B4-BE49-F238E27FC236}">
              <a16:creationId xmlns:a16="http://schemas.microsoft.com/office/drawing/2014/main" id="{711C9A51-3AC9-4EF2-9E60-9DF3DB6CDE41}"/>
            </a:ext>
          </a:extLst>
        </xdr:cNvPr>
        <xdr:cNvSpPr/>
      </xdr:nvSpPr>
      <xdr:spPr>
        <a:xfrm>
          <a:off x="7642575" y="11176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Nièvre (58)</a:t>
          </a:r>
          <a:r>
            <a:rPr lang="fr-FR" sz="900">
              <a:solidFill>
                <a:schemeClr val="tx1"/>
              </a:solidFill>
            </a:rPr>
            <a:t> </a:t>
          </a:r>
        </a:p>
      </xdr:txBody>
    </xdr:sp>
    <xdr:clientData/>
  </xdr:twoCellAnchor>
  <xdr:twoCellAnchor>
    <xdr:from>
      <xdr:col>3</xdr:col>
      <xdr:colOff>854886</xdr:colOff>
      <xdr:row>0</xdr:row>
      <xdr:rowOff>111760</xdr:rowOff>
    </xdr:from>
    <xdr:to>
      <xdr:col>3</xdr:col>
      <xdr:colOff>2474886</xdr:colOff>
      <xdr:row>0</xdr:row>
      <xdr:rowOff>628763</xdr:rowOff>
    </xdr:to>
    <xdr:sp macro="" textlink="">
      <xdr:nvSpPr>
        <xdr:cNvPr id="16" name="Flèche : chevron 15">
          <a:hlinkClick xmlns:r="http://schemas.openxmlformats.org/officeDocument/2006/relationships" r:id="rId5"/>
          <a:extLst>
            <a:ext uri="{FF2B5EF4-FFF2-40B4-BE49-F238E27FC236}">
              <a16:creationId xmlns:a16="http://schemas.microsoft.com/office/drawing/2014/main" id="{7064F8C6-AF0E-4286-900D-4ADAC9D11C58}"/>
            </a:ext>
          </a:extLst>
        </xdr:cNvPr>
        <xdr:cNvSpPr/>
      </xdr:nvSpPr>
      <xdr:spPr>
        <a:xfrm>
          <a:off x="4624246" y="11176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effectLst/>
              <a:latin typeface="+mn-lt"/>
              <a:ea typeface="+mn-ea"/>
              <a:cs typeface="+mn-cs"/>
            </a:rPr>
            <a:t>Doubs (25)</a:t>
          </a:r>
          <a:endParaRPr lang="fr-FR" sz="900">
            <a:solidFill>
              <a:schemeClr val="tx1"/>
            </a:solidFill>
            <a:effectLst/>
          </a:endParaRPr>
        </a:p>
      </xdr:txBody>
    </xdr:sp>
    <xdr:clientData/>
  </xdr:twoCellAnchor>
  <xdr:twoCellAnchor>
    <xdr:from>
      <xdr:col>5</xdr:col>
      <xdr:colOff>958095</xdr:colOff>
      <xdr:row>0</xdr:row>
      <xdr:rowOff>111760</xdr:rowOff>
    </xdr:from>
    <xdr:to>
      <xdr:col>6</xdr:col>
      <xdr:colOff>1023615</xdr:colOff>
      <xdr:row>0</xdr:row>
      <xdr:rowOff>628763</xdr:rowOff>
    </xdr:to>
    <xdr:sp macro="" textlink="">
      <xdr:nvSpPr>
        <xdr:cNvPr id="17" name="Flèche : chevron 16">
          <a:hlinkClick xmlns:r="http://schemas.openxmlformats.org/officeDocument/2006/relationships" r:id="rId6"/>
          <a:extLst>
            <a:ext uri="{FF2B5EF4-FFF2-40B4-BE49-F238E27FC236}">
              <a16:creationId xmlns:a16="http://schemas.microsoft.com/office/drawing/2014/main" id="{A7215DFB-6A9C-4E1E-9E8D-A75034BDEDBA}"/>
            </a:ext>
          </a:extLst>
        </xdr:cNvPr>
        <xdr:cNvSpPr/>
      </xdr:nvSpPr>
      <xdr:spPr>
        <a:xfrm>
          <a:off x="9126735" y="11176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Haute-Saône (70)</a:t>
          </a:r>
        </a:p>
      </xdr:txBody>
    </xdr:sp>
    <xdr:clientData/>
  </xdr:twoCellAnchor>
  <xdr:twoCellAnchor>
    <xdr:from>
      <xdr:col>2</xdr:col>
      <xdr:colOff>1500999</xdr:colOff>
      <xdr:row>0</xdr:row>
      <xdr:rowOff>111760</xdr:rowOff>
    </xdr:from>
    <xdr:to>
      <xdr:col>3</xdr:col>
      <xdr:colOff>936599</xdr:colOff>
      <xdr:row>0</xdr:row>
      <xdr:rowOff>628763</xdr:rowOff>
    </xdr:to>
    <xdr:sp macro="" textlink="">
      <xdr:nvSpPr>
        <xdr:cNvPr id="18" name="Flèche : chevron 17">
          <a:hlinkClick xmlns:r="http://schemas.openxmlformats.org/officeDocument/2006/relationships" r:id="rId7"/>
          <a:extLst>
            <a:ext uri="{FF2B5EF4-FFF2-40B4-BE49-F238E27FC236}">
              <a16:creationId xmlns:a16="http://schemas.microsoft.com/office/drawing/2014/main" id="{C79172D1-9C16-431C-A49C-978EFB254309}"/>
            </a:ext>
          </a:extLst>
        </xdr:cNvPr>
        <xdr:cNvSpPr/>
      </xdr:nvSpPr>
      <xdr:spPr>
        <a:xfrm>
          <a:off x="3085959" y="11176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0">
              <a:solidFill>
                <a:schemeClr val="tx1"/>
              </a:solidFill>
            </a:rPr>
            <a:t>Côte-d'Or (21)</a:t>
          </a:r>
        </a:p>
      </xdr:txBody>
    </xdr:sp>
    <xdr:clientData/>
  </xdr:twoCellAnchor>
  <xdr:twoCellAnchor>
    <xdr:from>
      <xdr:col>6</xdr:col>
      <xdr:colOff>893901</xdr:colOff>
      <xdr:row>0</xdr:row>
      <xdr:rowOff>111760</xdr:rowOff>
    </xdr:from>
    <xdr:to>
      <xdr:col>7</xdr:col>
      <xdr:colOff>359981</xdr:colOff>
      <xdr:row>0</xdr:row>
      <xdr:rowOff>628763</xdr:rowOff>
    </xdr:to>
    <xdr:sp macro="" textlink="">
      <xdr:nvSpPr>
        <xdr:cNvPr id="19" name="Flèche : chevron 18">
          <a:hlinkClick xmlns:r="http://schemas.openxmlformats.org/officeDocument/2006/relationships" r:id="rId8"/>
          <a:extLst>
            <a:ext uri="{FF2B5EF4-FFF2-40B4-BE49-F238E27FC236}">
              <a16:creationId xmlns:a16="http://schemas.microsoft.com/office/drawing/2014/main" id="{5B1286E5-4285-452B-A8BB-8629BD5FCF7C}"/>
            </a:ext>
          </a:extLst>
        </xdr:cNvPr>
        <xdr:cNvSpPr/>
      </xdr:nvSpPr>
      <xdr:spPr>
        <a:xfrm>
          <a:off x="10617021" y="111760"/>
          <a:ext cx="1620000" cy="517003"/>
        </a:xfrm>
        <a:prstGeom prst="chevron">
          <a:avLst/>
        </a:prstGeom>
        <a:solidFill>
          <a:srgbClr val="B887D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Saône-et-Loire (71)</a:t>
          </a:r>
        </a:p>
      </xdr:txBody>
    </xdr:sp>
    <xdr:clientData/>
  </xdr:twoCellAnchor>
  <xdr:twoCellAnchor>
    <xdr:from>
      <xdr:col>7</xdr:col>
      <xdr:colOff>215658</xdr:colOff>
      <xdr:row>0</xdr:row>
      <xdr:rowOff>111760</xdr:rowOff>
    </xdr:from>
    <xdr:to>
      <xdr:col>8</xdr:col>
      <xdr:colOff>443738</xdr:colOff>
      <xdr:row>0</xdr:row>
      <xdr:rowOff>628763</xdr:rowOff>
    </xdr:to>
    <xdr:sp macro="" textlink="">
      <xdr:nvSpPr>
        <xdr:cNvPr id="20" name="Flèche : chevron 19">
          <a:hlinkClick xmlns:r="http://schemas.openxmlformats.org/officeDocument/2006/relationships" r:id="rId9"/>
          <a:extLst>
            <a:ext uri="{FF2B5EF4-FFF2-40B4-BE49-F238E27FC236}">
              <a16:creationId xmlns:a16="http://schemas.microsoft.com/office/drawing/2014/main" id="{05838649-1060-4062-AD96-7191B1134826}"/>
            </a:ext>
          </a:extLst>
        </xdr:cNvPr>
        <xdr:cNvSpPr/>
      </xdr:nvSpPr>
      <xdr:spPr>
        <a:xfrm>
          <a:off x="12092698" y="11176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Yonne (89)</a:t>
          </a:r>
        </a:p>
      </xdr:txBody>
    </xdr:sp>
    <xdr:clientData/>
  </xdr:twoCellAnchor>
  <xdr:twoCellAnchor>
    <xdr:from>
      <xdr:col>8</xdr:col>
      <xdr:colOff>304737</xdr:colOff>
      <xdr:row>0</xdr:row>
      <xdr:rowOff>111760</xdr:rowOff>
    </xdr:from>
    <xdr:to>
      <xdr:col>8</xdr:col>
      <xdr:colOff>1924737</xdr:colOff>
      <xdr:row>0</xdr:row>
      <xdr:rowOff>628763</xdr:rowOff>
    </xdr:to>
    <xdr:sp macro="" textlink="">
      <xdr:nvSpPr>
        <xdr:cNvPr id="21" name="Flèche : chevron 20">
          <a:hlinkClick xmlns:r="http://schemas.openxmlformats.org/officeDocument/2006/relationships" r:id="rId10"/>
          <a:extLst>
            <a:ext uri="{FF2B5EF4-FFF2-40B4-BE49-F238E27FC236}">
              <a16:creationId xmlns:a16="http://schemas.microsoft.com/office/drawing/2014/main" id="{46F3ED66-E06B-4DD1-93AF-E805143F94DE}"/>
            </a:ext>
          </a:extLst>
        </xdr:cNvPr>
        <xdr:cNvSpPr/>
      </xdr:nvSpPr>
      <xdr:spPr>
        <a:xfrm>
          <a:off x="13573697" y="11176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Territoire</a:t>
          </a:r>
          <a:r>
            <a:rPr lang="fr-FR" sz="900" b="1" baseline="0">
              <a:solidFill>
                <a:schemeClr val="tx1"/>
              </a:solidFill>
            </a:rPr>
            <a:t> de Belfort (90)</a:t>
          </a:r>
          <a:endParaRPr lang="fr-FR" sz="900" b="1">
            <a:solidFill>
              <a:schemeClr val="tx1"/>
            </a:solidFill>
          </a:endParaRPr>
        </a:p>
      </xdr:txBody>
    </xdr:sp>
    <xdr:clientData/>
  </xdr:twoCellAnchor>
  <xdr:twoCellAnchor>
    <xdr:from>
      <xdr:col>8</xdr:col>
      <xdr:colOff>1791607</xdr:colOff>
      <xdr:row>0</xdr:row>
      <xdr:rowOff>111760</xdr:rowOff>
    </xdr:from>
    <xdr:to>
      <xdr:col>9</xdr:col>
      <xdr:colOff>983367</xdr:colOff>
      <xdr:row>0</xdr:row>
      <xdr:rowOff>628763</xdr:rowOff>
    </xdr:to>
    <xdr:sp macro="" textlink="">
      <xdr:nvSpPr>
        <xdr:cNvPr id="22" name="Flèche : chevron 21">
          <a:hlinkClick xmlns:r="http://schemas.openxmlformats.org/officeDocument/2006/relationships" r:id="rId11"/>
          <a:extLst>
            <a:ext uri="{FF2B5EF4-FFF2-40B4-BE49-F238E27FC236}">
              <a16:creationId xmlns:a16="http://schemas.microsoft.com/office/drawing/2014/main" id="{0C6AAD91-C0DB-4E9B-9567-0BB2EB23DDAD}"/>
            </a:ext>
          </a:extLst>
        </xdr:cNvPr>
        <xdr:cNvSpPr/>
      </xdr:nvSpPr>
      <xdr:spPr>
        <a:xfrm>
          <a:off x="15060567" y="11176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Intervention</a:t>
          </a:r>
          <a:r>
            <a:rPr lang="fr-FR" sz="900" b="1" baseline="0">
              <a:solidFill>
                <a:schemeClr val="tx1"/>
              </a:solidFill>
            </a:rPr>
            <a:t> en Nord-Franche-Comté</a:t>
          </a:r>
          <a:endParaRPr lang="fr-FR" sz="900" b="1">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90055</xdr:colOff>
      <xdr:row>0</xdr:row>
      <xdr:rowOff>126076</xdr:rowOff>
    </xdr:from>
    <xdr:to>
      <xdr:col>0</xdr:col>
      <xdr:colOff>907635</xdr:colOff>
      <xdr:row>0</xdr:row>
      <xdr:rowOff>636295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352B196-5320-465F-BD52-48CE1189AAC0}"/>
            </a:ext>
          </a:extLst>
        </xdr:cNvPr>
        <xdr:cNvSpPr/>
      </xdr:nvSpPr>
      <xdr:spPr>
        <a:xfrm>
          <a:off x="90055" y="126076"/>
          <a:ext cx="817580" cy="510219"/>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t>Retour au sommaire </a:t>
          </a:r>
        </a:p>
      </xdr:txBody>
    </xdr:sp>
    <xdr:clientData/>
  </xdr:twoCellAnchor>
  <xdr:twoCellAnchor>
    <xdr:from>
      <xdr:col>13</xdr:col>
      <xdr:colOff>2418080</xdr:colOff>
      <xdr:row>0</xdr:row>
      <xdr:rowOff>0</xdr:rowOff>
    </xdr:from>
    <xdr:to>
      <xdr:col>14</xdr:col>
      <xdr:colOff>188422</xdr:colOff>
      <xdr:row>0</xdr:row>
      <xdr:rowOff>709353</xdr:rowOff>
    </xdr:to>
    <xdr:sp macro="" textlink="">
      <xdr:nvSpPr>
        <xdr:cNvPr id="3" name="Flèche : pentagone 2">
          <a:extLst>
            <a:ext uri="{FF2B5EF4-FFF2-40B4-BE49-F238E27FC236}">
              <a16:creationId xmlns:a16="http://schemas.microsoft.com/office/drawing/2014/main" id="{BB942544-5D84-486F-9D86-AA4783D25D4E}"/>
            </a:ext>
          </a:extLst>
        </xdr:cNvPr>
        <xdr:cNvSpPr/>
      </xdr:nvSpPr>
      <xdr:spPr>
        <a:xfrm>
          <a:off x="19944080" y="0"/>
          <a:ext cx="350982" cy="709353"/>
        </a:xfrm>
        <a:prstGeom prst="homePlate">
          <a:avLst/>
        </a:prstGeom>
        <a:solidFill>
          <a:srgbClr val="DCC5ED"/>
        </a:solidFill>
        <a:ln>
          <a:solidFill>
            <a:srgbClr val="DCC5E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20320</xdr:colOff>
      <xdr:row>0</xdr:row>
      <xdr:rowOff>91440</xdr:rowOff>
    </xdr:from>
    <xdr:to>
      <xdr:col>2</xdr:col>
      <xdr:colOff>1640320</xdr:colOff>
      <xdr:row>0</xdr:row>
      <xdr:rowOff>608442</xdr:rowOff>
    </xdr:to>
    <xdr:sp macro="" textlink="">
      <xdr:nvSpPr>
        <xdr:cNvPr id="13" name="Flèche : pentagone 12">
          <a:hlinkClick xmlns:r="http://schemas.openxmlformats.org/officeDocument/2006/relationships" r:id="rId2"/>
          <a:extLst>
            <a:ext uri="{FF2B5EF4-FFF2-40B4-BE49-F238E27FC236}">
              <a16:creationId xmlns:a16="http://schemas.microsoft.com/office/drawing/2014/main" id="{4AE40242-6A2F-4498-B0E0-70FE93468D0D}"/>
            </a:ext>
          </a:extLst>
        </xdr:cNvPr>
        <xdr:cNvSpPr/>
      </xdr:nvSpPr>
      <xdr:spPr>
        <a:xfrm>
          <a:off x="1605280" y="91440"/>
          <a:ext cx="1620000" cy="517002"/>
        </a:xfrm>
        <a:prstGeom prst="homePlate">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solidFill>
                <a:schemeClr val="tx1"/>
              </a:solidFill>
            </a:rPr>
            <a:t>Toutes les structures de</a:t>
          </a:r>
          <a:r>
            <a:rPr lang="fr-FR" sz="1100" b="0" baseline="0">
              <a:solidFill>
                <a:schemeClr val="tx1"/>
              </a:solidFill>
            </a:rPr>
            <a:t> la région</a:t>
          </a:r>
          <a:endParaRPr lang="fr-FR" sz="1100" b="0">
            <a:solidFill>
              <a:schemeClr val="tx1"/>
            </a:solidFill>
          </a:endParaRPr>
        </a:p>
      </xdr:txBody>
    </xdr:sp>
    <xdr:clientData/>
  </xdr:twoCellAnchor>
  <xdr:twoCellAnchor>
    <xdr:from>
      <xdr:col>3</xdr:col>
      <xdr:colOff>2076067</xdr:colOff>
      <xdr:row>0</xdr:row>
      <xdr:rowOff>91440</xdr:rowOff>
    </xdr:from>
    <xdr:to>
      <xdr:col>4</xdr:col>
      <xdr:colOff>1064627</xdr:colOff>
      <xdr:row>0</xdr:row>
      <xdr:rowOff>608443</xdr:rowOff>
    </xdr:to>
    <xdr:sp macro="" textlink="">
      <xdr:nvSpPr>
        <xdr:cNvPr id="14" name="Flèche : chevron 13">
          <a:hlinkClick xmlns:r="http://schemas.openxmlformats.org/officeDocument/2006/relationships" r:id="rId3"/>
          <a:extLst>
            <a:ext uri="{FF2B5EF4-FFF2-40B4-BE49-F238E27FC236}">
              <a16:creationId xmlns:a16="http://schemas.microsoft.com/office/drawing/2014/main" id="{F14FE261-54C3-4E96-9840-058CAD062E59}"/>
            </a:ext>
          </a:extLst>
        </xdr:cNvPr>
        <xdr:cNvSpPr/>
      </xdr:nvSpPr>
      <xdr:spPr>
        <a:xfrm>
          <a:off x="6079107"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Jura (39)</a:t>
          </a:r>
        </a:p>
      </xdr:txBody>
    </xdr:sp>
    <xdr:clientData/>
  </xdr:twoCellAnchor>
  <xdr:twoCellAnchor>
    <xdr:from>
      <xdr:col>4</xdr:col>
      <xdr:colOff>997935</xdr:colOff>
      <xdr:row>0</xdr:row>
      <xdr:rowOff>91440</xdr:rowOff>
    </xdr:from>
    <xdr:to>
      <xdr:col>5</xdr:col>
      <xdr:colOff>850095</xdr:colOff>
      <xdr:row>0</xdr:row>
      <xdr:rowOff>608443</xdr:rowOff>
    </xdr:to>
    <xdr:sp macro="" textlink="">
      <xdr:nvSpPr>
        <xdr:cNvPr id="15" name="Flèche : chevron 14">
          <a:hlinkClick xmlns:r="http://schemas.openxmlformats.org/officeDocument/2006/relationships" r:id="rId4"/>
          <a:extLst>
            <a:ext uri="{FF2B5EF4-FFF2-40B4-BE49-F238E27FC236}">
              <a16:creationId xmlns:a16="http://schemas.microsoft.com/office/drawing/2014/main" id="{3B9941B6-A790-4E4D-A465-32DA3B0263E2}"/>
            </a:ext>
          </a:extLst>
        </xdr:cNvPr>
        <xdr:cNvSpPr/>
      </xdr:nvSpPr>
      <xdr:spPr>
        <a:xfrm>
          <a:off x="7632415"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Nièvre (58)</a:t>
          </a:r>
          <a:r>
            <a:rPr lang="fr-FR" sz="900">
              <a:solidFill>
                <a:schemeClr val="tx1"/>
              </a:solidFill>
            </a:rPr>
            <a:t> </a:t>
          </a:r>
        </a:p>
      </xdr:txBody>
    </xdr:sp>
    <xdr:clientData/>
  </xdr:twoCellAnchor>
  <xdr:twoCellAnchor>
    <xdr:from>
      <xdr:col>3</xdr:col>
      <xdr:colOff>611046</xdr:colOff>
      <xdr:row>0</xdr:row>
      <xdr:rowOff>91440</xdr:rowOff>
    </xdr:from>
    <xdr:to>
      <xdr:col>3</xdr:col>
      <xdr:colOff>2231046</xdr:colOff>
      <xdr:row>0</xdr:row>
      <xdr:rowOff>608443</xdr:rowOff>
    </xdr:to>
    <xdr:sp macro="" textlink="">
      <xdr:nvSpPr>
        <xdr:cNvPr id="16" name="Flèche : chevron 15">
          <a:hlinkClick xmlns:r="http://schemas.openxmlformats.org/officeDocument/2006/relationships" r:id="rId5"/>
          <a:extLst>
            <a:ext uri="{FF2B5EF4-FFF2-40B4-BE49-F238E27FC236}">
              <a16:creationId xmlns:a16="http://schemas.microsoft.com/office/drawing/2014/main" id="{223CFF10-4229-4735-BEF1-AA1DCBE0536D}"/>
            </a:ext>
          </a:extLst>
        </xdr:cNvPr>
        <xdr:cNvSpPr/>
      </xdr:nvSpPr>
      <xdr:spPr>
        <a:xfrm>
          <a:off x="4614086"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effectLst/>
              <a:latin typeface="+mn-lt"/>
              <a:ea typeface="+mn-ea"/>
              <a:cs typeface="+mn-cs"/>
            </a:rPr>
            <a:t>Doubs (25)</a:t>
          </a:r>
          <a:endParaRPr lang="fr-FR" sz="900">
            <a:solidFill>
              <a:schemeClr val="tx1"/>
            </a:solidFill>
            <a:effectLst/>
          </a:endParaRPr>
        </a:p>
      </xdr:txBody>
    </xdr:sp>
    <xdr:clientData/>
  </xdr:twoCellAnchor>
  <xdr:twoCellAnchor>
    <xdr:from>
      <xdr:col>5</xdr:col>
      <xdr:colOff>714255</xdr:colOff>
      <xdr:row>0</xdr:row>
      <xdr:rowOff>91440</xdr:rowOff>
    </xdr:from>
    <xdr:to>
      <xdr:col>6</xdr:col>
      <xdr:colOff>88895</xdr:colOff>
      <xdr:row>0</xdr:row>
      <xdr:rowOff>608443</xdr:rowOff>
    </xdr:to>
    <xdr:sp macro="" textlink="">
      <xdr:nvSpPr>
        <xdr:cNvPr id="17" name="Flèche : chevron 16">
          <a:hlinkClick xmlns:r="http://schemas.openxmlformats.org/officeDocument/2006/relationships" r:id="rId6"/>
          <a:extLst>
            <a:ext uri="{FF2B5EF4-FFF2-40B4-BE49-F238E27FC236}">
              <a16:creationId xmlns:a16="http://schemas.microsoft.com/office/drawing/2014/main" id="{36CCF4DE-D4DC-4290-818F-2863595CA575}"/>
            </a:ext>
          </a:extLst>
        </xdr:cNvPr>
        <xdr:cNvSpPr/>
      </xdr:nvSpPr>
      <xdr:spPr>
        <a:xfrm>
          <a:off x="9116575"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Haute-Saône (70)</a:t>
          </a:r>
        </a:p>
      </xdr:txBody>
    </xdr:sp>
    <xdr:clientData/>
  </xdr:twoCellAnchor>
  <xdr:twoCellAnchor>
    <xdr:from>
      <xdr:col>2</xdr:col>
      <xdr:colOff>1490839</xdr:colOff>
      <xdr:row>0</xdr:row>
      <xdr:rowOff>91440</xdr:rowOff>
    </xdr:from>
    <xdr:to>
      <xdr:col>3</xdr:col>
      <xdr:colOff>692759</xdr:colOff>
      <xdr:row>0</xdr:row>
      <xdr:rowOff>608443</xdr:rowOff>
    </xdr:to>
    <xdr:sp macro="" textlink="">
      <xdr:nvSpPr>
        <xdr:cNvPr id="18" name="Flèche : chevron 17">
          <a:hlinkClick xmlns:r="http://schemas.openxmlformats.org/officeDocument/2006/relationships" r:id="rId7"/>
          <a:extLst>
            <a:ext uri="{FF2B5EF4-FFF2-40B4-BE49-F238E27FC236}">
              <a16:creationId xmlns:a16="http://schemas.microsoft.com/office/drawing/2014/main" id="{CD393D22-96C8-4AD1-88E6-E8D58F849B14}"/>
            </a:ext>
          </a:extLst>
        </xdr:cNvPr>
        <xdr:cNvSpPr/>
      </xdr:nvSpPr>
      <xdr:spPr>
        <a:xfrm>
          <a:off x="3075799"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0">
              <a:solidFill>
                <a:schemeClr val="tx1"/>
              </a:solidFill>
            </a:rPr>
            <a:t>Côte-d'Or (21)</a:t>
          </a:r>
        </a:p>
      </xdr:txBody>
    </xdr:sp>
    <xdr:clientData/>
  </xdr:twoCellAnchor>
  <xdr:twoCellAnchor>
    <xdr:from>
      <xdr:col>5</xdr:col>
      <xdr:colOff>2204541</xdr:colOff>
      <xdr:row>0</xdr:row>
      <xdr:rowOff>91440</xdr:rowOff>
    </xdr:from>
    <xdr:to>
      <xdr:col>6</xdr:col>
      <xdr:colOff>1579181</xdr:colOff>
      <xdr:row>0</xdr:row>
      <xdr:rowOff>608443</xdr:rowOff>
    </xdr:to>
    <xdr:sp macro="" textlink="">
      <xdr:nvSpPr>
        <xdr:cNvPr id="19" name="Flèche : chevron 18">
          <a:hlinkClick xmlns:r="http://schemas.openxmlformats.org/officeDocument/2006/relationships" r:id="rId8"/>
          <a:extLst>
            <a:ext uri="{FF2B5EF4-FFF2-40B4-BE49-F238E27FC236}">
              <a16:creationId xmlns:a16="http://schemas.microsoft.com/office/drawing/2014/main" id="{C8146725-DA4D-4B17-A80E-2EF8EC7587DB}"/>
            </a:ext>
          </a:extLst>
        </xdr:cNvPr>
        <xdr:cNvSpPr/>
      </xdr:nvSpPr>
      <xdr:spPr>
        <a:xfrm>
          <a:off x="10606861"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Saône-et-Loire (71)</a:t>
          </a:r>
        </a:p>
      </xdr:txBody>
    </xdr:sp>
    <xdr:clientData/>
  </xdr:twoCellAnchor>
  <xdr:twoCellAnchor>
    <xdr:from>
      <xdr:col>6</xdr:col>
      <xdr:colOff>1434858</xdr:colOff>
      <xdr:row>0</xdr:row>
      <xdr:rowOff>91440</xdr:rowOff>
    </xdr:from>
    <xdr:to>
      <xdr:col>7</xdr:col>
      <xdr:colOff>900938</xdr:colOff>
      <xdr:row>0</xdr:row>
      <xdr:rowOff>608443</xdr:rowOff>
    </xdr:to>
    <xdr:sp macro="" textlink="">
      <xdr:nvSpPr>
        <xdr:cNvPr id="20" name="Flèche : chevron 19">
          <a:hlinkClick xmlns:r="http://schemas.openxmlformats.org/officeDocument/2006/relationships" r:id="rId9"/>
          <a:extLst>
            <a:ext uri="{FF2B5EF4-FFF2-40B4-BE49-F238E27FC236}">
              <a16:creationId xmlns:a16="http://schemas.microsoft.com/office/drawing/2014/main" id="{90707758-F374-41E8-A1D1-4743F139AAC4}"/>
            </a:ext>
          </a:extLst>
        </xdr:cNvPr>
        <xdr:cNvSpPr/>
      </xdr:nvSpPr>
      <xdr:spPr>
        <a:xfrm>
          <a:off x="12082538" y="91440"/>
          <a:ext cx="1620000" cy="517003"/>
        </a:xfrm>
        <a:prstGeom prst="chevron">
          <a:avLst/>
        </a:prstGeom>
        <a:solidFill>
          <a:srgbClr val="B887D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Yonne (89)</a:t>
          </a:r>
        </a:p>
      </xdr:txBody>
    </xdr:sp>
    <xdr:clientData/>
  </xdr:twoCellAnchor>
  <xdr:twoCellAnchor>
    <xdr:from>
      <xdr:col>7</xdr:col>
      <xdr:colOff>761937</xdr:colOff>
      <xdr:row>0</xdr:row>
      <xdr:rowOff>91440</xdr:rowOff>
    </xdr:from>
    <xdr:to>
      <xdr:col>8</xdr:col>
      <xdr:colOff>990017</xdr:colOff>
      <xdr:row>0</xdr:row>
      <xdr:rowOff>608443</xdr:rowOff>
    </xdr:to>
    <xdr:sp macro="" textlink="">
      <xdr:nvSpPr>
        <xdr:cNvPr id="21" name="Flèche : chevron 20">
          <a:hlinkClick xmlns:r="http://schemas.openxmlformats.org/officeDocument/2006/relationships" r:id="rId10"/>
          <a:extLst>
            <a:ext uri="{FF2B5EF4-FFF2-40B4-BE49-F238E27FC236}">
              <a16:creationId xmlns:a16="http://schemas.microsoft.com/office/drawing/2014/main" id="{FBC277A9-DA6B-4AA5-A121-7ADE0E5D2426}"/>
            </a:ext>
          </a:extLst>
        </xdr:cNvPr>
        <xdr:cNvSpPr/>
      </xdr:nvSpPr>
      <xdr:spPr>
        <a:xfrm>
          <a:off x="13563537"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Territoire</a:t>
          </a:r>
          <a:r>
            <a:rPr lang="fr-FR" sz="900" b="1" baseline="0">
              <a:solidFill>
                <a:schemeClr val="tx1"/>
              </a:solidFill>
            </a:rPr>
            <a:t> de Belfort (90)</a:t>
          </a:r>
          <a:endParaRPr lang="fr-FR" sz="900" b="1">
            <a:solidFill>
              <a:schemeClr val="tx1"/>
            </a:solidFill>
          </a:endParaRPr>
        </a:p>
      </xdr:txBody>
    </xdr:sp>
    <xdr:clientData/>
  </xdr:twoCellAnchor>
  <xdr:twoCellAnchor>
    <xdr:from>
      <xdr:col>8</xdr:col>
      <xdr:colOff>856887</xdr:colOff>
      <xdr:row>0</xdr:row>
      <xdr:rowOff>91440</xdr:rowOff>
    </xdr:from>
    <xdr:to>
      <xdr:col>9</xdr:col>
      <xdr:colOff>48647</xdr:colOff>
      <xdr:row>0</xdr:row>
      <xdr:rowOff>608443</xdr:rowOff>
    </xdr:to>
    <xdr:sp macro="" textlink="">
      <xdr:nvSpPr>
        <xdr:cNvPr id="22" name="Flèche : chevron 21">
          <a:hlinkClick xmlns:r="http://schemas.openxmlformats.org/officeDocument/2006/relationships" r:id="rId11"/>
          <a:extLst>
            <a:ext uri="{FF2B5EF4-FFF2-40B4-BE49-F238E27FC236}">
              <a16:creationId xmlns:a16="http://schemas.microsoft.com/office/drawing/2014/main" id="{ABA4DA34-8053-4D96-A651-C4F24EA1003D}"/>
            </a:ext>
          </a:extLst>
        </xdr:cNvPr>
        <xdr:cNvSpPr/>
      </xdr:nvSpPr>
      <xdr:spPr>
        <a:xfrm>
          <a:off x="15050407" y="91440"/>
          <a:ext cx="1620000" cy="517003"/>
        </a:xfrm>
        <a:prstGeom prst="chevron">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900" b="1">
              <a:solidFill>
                <a:schemeClr val="tx1"/>
              </a:solidFill>
            </a:rPr>
            <a:t>Intervention</a:t>
          </a:r>
          <a:r>
            <a:rPr lang="fr-FR" sz="900" b="1" baseline="0">
              <a:solidFill>
                <a:schemeClr val="tx1"/>
              </a:solidFill>
            </a:rPr>
            <a:t> en Nord-Franche-Comté</a:t>
          </a:r>
          <a:endParaRPr lang="fr-FR" sz="900" b="1">
            <a:solidFill>
              <a:schemeClr val="tx1"/>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Payet, Salome" id="{FE76523A-C084-4FB2-AA65-2FDFA8501FDD}" userId="S::spayet@kpmg.fr::ae863728-9168-40d4-b292-639a21bce02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0000000}" name="Tableau124" displayName="Tableau124" ref="B5:O236" totalsRowShown="0" headerRowDxfId="287" dataDxfId="285" headerRowBorderDxfId="286" tableBorderDxfId="284" totalsRowBorderDxfId="283">
  <autoFilter ref="B5:O236" xr:uid="{00000000-0009-0000-0100-000017000000}"/>
  <sortState xmlns:xlrd2="http://schemas.microsoft.com/office/spreadsheetml/2017/richdata2" ref="B6:O236">
    <sortCondition ref="D5:D236"/>
  </sortState>
  <tableColumns count="14">
    <tableColumn id="7" xr3:uid="{00000000-0010-0000-0000-000007000000}" name="Référence" dataDxfId="282"/>
    <tableColumn id="1" xr3:uid="{00000000-0010-0000-0000-000001000000}" name="Département" dataDxfId="281"/>
    <tableColumn id="11" xr3:uid="{00000000-0010-0000-0000-00000B000000}" name="Commune d'implantation de la structure" dataDxfId="280"/>
    <tableColumn id="2" xr3:uid="{00000000-0010-0000-0000-000002000000}" name="Code postal" dataDxfId="279"/>
    <tableColumn id="3" xr3:uid="{00000000-0010-0000-0000-000003000000}" name="Adresse" dataDxfId="278"/>
    <tableColumn id="4" xr3:uid="{00000000-0010-0000-0000-000004000000}" name="Type de structure" dataDxfId="277"/>
    <tableColumn id="6" xr3:uid="{00000000-0010-0000-0000-000006000000}" name="Nom de la structure" dataDxfId="276"/>
    <tableColumn id="8" xr3:uid="{00000000-0010-0000-0000-000008000000}" name="Statut de la structure" dataDxfId="275"/>
    <tableColumn id="15" xr3:uid="{00000000-0010-0000-0000-00000F000000}" name="Mail" dataDxfId="274"/>
    <tableColumn id="9" xr3:uid="{00000000-0010-0000-0000-000009000000}" name="Numéro de téléphone" dataDxfId="273"/>
    <tableColumn id="10" xr3:uid="{00000000-0010-0000-0000-00000A000000}" name="Site internet" dataDxfId="272"/>
    <tableColumn id="5" xr3:uid="{00000000-0010-0000-0000-000005000000}" name="Jours et horaires" dataDxfId="271"/>
    <tableColumn id="12" xr3:uid="{00000000-0010-0000-0000-00000C000000}" name="Informations complémentaires" dataDxfId="270"/>
    <tableColumn id="13" xr3:uid="{00000000-0010-0000-0000-00000D000000}" name="NFC" dataDxfId="269"/>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9000000}" name="Tableau22" displayName="Tableau22" ref="B5:M22" totalsRowShown="0" headerRowDxfId="145" dataDxfId="143" headerRowBorderDxfId="144" tableBorderDxfId="142">
  <autoFilter ref="B5:M22" xr:uid="{00000000-0009-0000-0100-000016000000}"/>
  <sortState xmlns:xlrd2="http://schemas.microsoft.com/office/spreadsheetml/2017/richdata2" ref="B6:M22">
    <sortCondition ref="C5:C22"/>
  </sortState>
  <tableColumns count="12">
    <tableColumn id="7" xr3:uid="{00000000-0010-0000-0900-000007000000}" name="Colonne1" dataDxfId="141"/>
    <tableColumn id="2" xr3:uid="{00000000-0010-0000-0900-000002000000}" name="Commune d'implantation de la structure" dataDxfId="140">
      <calculatedColumnFormula>VLOOKUP(Tableau22[[#This Row],[Colonne1]],Tableau124[#All],3,FALSE)</calculatedColumnFormula>
    </tableColumn>
    <tableColumn id="3" xr3:uid="{00000000-0010-0000-0900-000003000000}" name="Code postal" dataDxfId="139">
      <calculatedColumnFormula>VLOOKUP(Tableau22[[#This Row],[Colonne1]],Tableau124[#All],4,FALSE)</calculatedColumnFormula>
    </tableColumn>
    <tableColumn id="4" xr3:uid="{00000000-0010-0000-0900-000004000000}" name="Adresse" dataDxfId="138">
      <calculatedColumnFormula>VLOOKUP(Tableau22[[#This Row],[Colonne1]],Tableau124[#All],5,FALSE)</calculatedColumnFormula>
    </tableColumn>
    <tableColumn id="5" xr3:uid="{00000000-0010-0000-0900-000005000000}" name="Type de structure" dataDxfId="137">
      <calculatedColumnFormula>VLOOKUP(Tableau22[[#This Row],[Colonne1]],Tableau124[#All],6,FALSE)</calculatedColumnFormula>
    </tableColumn>
    <tableColumn id="6" xr3:uid="{00000000-0010-0000-0900-000006000000}" name="Nom de la structure" dataDxfId="136">
      <calculatedColumnFormula>VLOOKUP(Tableau22[[#This Row],[Colonne1]],Tableau124[#All],7,FALSE)</calculatedColumnFormula>
    </tableColumn>
    <tableColumn id="8" xr3:uid="{00000000-0010-0000-0900-000008000000}" name="Statut de la structure" dataDxfId="135">
      <calculatedColumnFormula>VLOOKUP(Tableau22[[#This Row],[Colonne1]],Tableau124[#All],8,FALSE)</calculatedColumnFormula>
    </tableColumn>
    <tableColumn id="9" xr3:uid="{00000000-0010-0000-0900-000009000000}" name="Mail" dataDxfId="134">
      <calculatedColumnFormula>VLOOKUP(Tableau22[[#This Row],[Colonne1]],Tableau124[#All],9,FALSE)</calculatedColumnFormula>
    </tableColumn>
    <tableColumn id="10" xr3:uid="{00000000-0010-0000-0900-00000A000000}" name="Numéro de téléphone" dataDxfId="133">
      <calculatedColumnFormula>VLOOKUP(Tableau22[[#This Row],[Colonne1]],Tableau124[#All],10,FALSE)</calculatedColumnFormula>
    </tableColumn>
    <tableColumn id="11" xr3:uid="{00000000-0010-0000-0900-00000B000000}" name="Site internet" dataDxfId="132">
      <calculatedColumnFormula>VLOOKUP(Tableau22[[#This Row],[Colonne1]],Tableau124[#All],11,FALSE)</calculatedColumnFormula>
    </tableColumn>
    <tableColumn id="12" xr3:uid="{00000000-0010-0000-0900-00000C000000}" name="Jours et horaires" dataDxfId="131">
      <calculatedColumnFormula>VLOOKUP(Tableau22[[#This Row],[Colonne1]],Tableau124[#All],12,FALSE)</calculatedColumnFormula>
    </tableColumn>
    <tableColumn id="13" xr3:uid="{00000000-0010-0000-0900-00000D000000}" name="Informations complémentaires" dataDxfId="130">
      <calculatedColumnFormula>VLOOKUP(Tableau22[[#This Row],[Colonne1]],Tableau124[#All],13,FALSE)</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A000000}" name="Tableau14" displayName="Tableau14" ref="C4:Q29" totalsRowShown="0" headerRowDxfId="129" dataDxfId="127" headerRowBorderDxfId="128" tableBorderDxfId="126" totalsRowBorderDxfId="125">
  <autoFilter ref="C4:Q29" xr:uid="{00000000-0009-0000-0100-000003000000}"/>
  <tableColumns count="15">
    <tableColumn id="15" xr3:uid="{00000000-0010-0000-0A00-00000F000000}" name="Département" dataDxfId="124"/>
    <tableColumn id="18" xr3:uid="{00000000-0010-0000-0A00-000012000000}" name="Commune" dataDxfId="123"/>
    <tableColumn id="17" xr3:uid="{00000000-0010-0000-0A00-000011000000}" name="Code postal" dataDxfId="122"/>
    <tableColumn id="16" xr3:uid="{00000000-0010-0000-0A00-000010000000}" name="Adresse" dataDxfId="121"/>
    <tableColumn id="13" xr3:uid="{00000000-0010-0000-0A00-00000D000000}" name="Type de structure" dataDxfId="120"/>
    <tableColumn id="11" xr3:uid="{00000000-0010-0000-0A00-00000B000000}" name="Nom de la structure" dataDxfId="119"/>
    <tableColumn id="5" xr3:uid="{00000000-0010-0000-0A00-000005000000}" name="Intervention Nord-Franche-Comte" dataDxfId="118"/>
    <tableColumn id="8" xr3:uid="{00000000-0010-0000-0A00-000008000000}" name="Statut structure" dataDxfId="117"/>
    <tableColumn id="4" xr3:uid="{00000000-0010-0000-0A00-000004000000}" name="Mail" dataDxfId="116"/>
    <tableColumn id="6" xr3:uid="{00000000-0010-0000-0A00-000006000000}" name="Téléphone" dataDxfId="115"/>
    <tableColumn id="7" xr3:uid="{00000000-0010-0000-0A00-000007000000}" name="Site" dataDxfId="114"/>
    <tableColumn id="10" xr3:uid="{00000000-0010-0000-0A00-00000A000000}" name="Public" dataDxfId="113"/>
    <tableColumn id="12" xr3:uid="{00000000-0010-0000-0A00-00000C000000}" name="Les lits sont :" dataDxfId="112"/>
    <tableColumn id="14" xr3:uid="{00000000-0010-0000-0A00-00000E000000}" name="Unités mobilisées" dataDxfId="111"/>
    <tableColumn id="19" xr3:uid="{00000000-0010-0000-0A00-000013000000}" name="Informations complémentaires" dataDxfId="11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B000000}" name="Tableau135" displayName="Tableau135" ref="C4:P22" totalsRowShown="0" headerRowDxfId="109" dataDxfId="107" headerRowBorderDxfId="108" tableBorderDxfId="106" totalsRowBorderDxfId="105">
  <autoFilter ref="C4:P22" xr:uid="{00000000-0009-0000-0100-000004000000}"/>
  <tableColumns count="14">
    <tableColumn id="9" xr3:uid="{00000000-0010-0000-0B00-000009000000}" name="Département" dataDxfId="104"/>
    <tableColumn id="18" xr3:uid="{00000000-0010-0000-0B00-000012000000}" name="Commune" dataDxfId="103"/>
    <tableColumn id="17" xr3:uid="{00000000-0010-0000-0B00-000011000000}" name="Code postal" dataDxfId="102"/>
    <tableColumn id="16" xr3:uid="{00000000-0010-0000-0B00-000010000000}" name="Adresse" dataDxfId="101"/>
    <tableColumn id="14" xr3:uid="{00000000-0010-0000-0B00-00000E000000}" name="Type de structure" dataDxfId="100"/>
    <tableColumn id="2" xr3:uid="{00000000-0010-0000-0B00-000002000000}" name="Nom de la structure" dataDxfId="99"/>
    <tableColumn id="15" xr3:uid="{00000000-0010-0000-0B00-00000F000000}" name="Intervention Nord-Franche-Comte" dataDxfId="98"/>
    <tableColumn id="8" xr3:uid="{00000000-0010-0000-0B00-000008000000}" name="Statut structure" dataDxfId="97"/>
    <tableColumn id="5" xr3:uid="{00000000-0010-0000-0B00-000005000000}" name="Mail" dataDxfId="96"/>
    <tableColumn id="6" xr3:uid="{00000000-0010-0000-0B00-000006000000}" name="Téléphone" dataDxfId="95"/>
    <tableColumn id="7" xr3:uid="{00000000-0010-0000-0B00-000007000000}" name="Site" dataDxfId="94"/>
    <tableColumn id="11" xr3:uid="{00000000-0010-0000-0B00-00000B000000}" name="Public" dataDxfId="93"/>
    <tableColumn id="12" xr3:uid="{00000000-0010-0000-0B00-00000C000000}" name="L’unité d’hospitalisation pour soins complexes accueille également des patients pour des sevrages simples " dataDxfId="92"/>
    <tableColumn id="13" xr3:uid="{00000000-0010-0000-0B00-00000D000000}" name="Informations complémentaires" dataDxfId="91"/>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au13516" displayName="Tableau13516" ref="C4:O30" totalsRowShown="0" headerRowDxfId="90" dataDxfId="88" headerRowBorderDxfId="89" tableBorderDxfId="87" totalsRowBorderDxfId="86">
  <autoFilter ref="C4:O30" xr:uid="{00000000-0009-0000-0100-00000F000000}"/>
  <tableColumns count="13">
    <tableColumn id="9" xr3:uid="{00000000-0010-0000-0C00-000009000000}" name="Département" dataDxfId="85"/>
    <tableColumn id="17" xr3:uid="{00000000-0010-0000-0C00-000011000000}" name="Commune" dataDxfId="84"/>
    <tableColumn id="16" xr3:uid="{00000000-0010-0000-0C00-000010000000}" name="Code postal" dataDxfId="83"/>
    <tableColumn id="15" xr3:uid="{00000000-0010-0000-0C00-00000F000000}" name="Interventions" dataDxfId="82"/>
    <tableColumn id="14" xr3:uid="{00000000-0010-0000-0C00-00000E000000}" name="Type de structure" dataDxfId="81"/>
    <tableColumn id="2" xr3:uid="{00000000-0010-0000-0C00-000002000000}" name="Nom de la structure" dataDxfId="80"/>
    <tableColumn id="12" xr3:uid="{00000000-0010-0000-0C00-00000C000000}" name="Intervention Nord-Franche-Comte" dataDxfId="79"/>
    <tableColumn id="8" xr3:uid="{00000000-0010-0000-0C00-000008000000}" name="Statut structure" dataDxfId="78"/>
    <tableColumn id="5" xr3:uid="{00000000-0010-0000-0C00-000005000000}" name="Mail" dataDxfId="77"/>
    <tableColumn id="6" xr3:uid="{00000000-0010-0000-0C00-000006000000}" name="Téléphone de l'ELSA" dataDxfId="76"/>
    <tableColumn id="7" xr3:uid="{00000000-0010-0000-0C00-000007000000}" name="Site" dataDxfId="75"/>
    <tableColumn id="11" xr3:uid="{00000000-0010-0000-0C00-00000B000000}" name="Public" dataDxfId="74"/>
    <tableColumn id="13" xr3:uid="{00000000-0010-0000-0C00-00000D000000}" name="Informations complémentaires" dataDxfId="7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ableau13714" displayName="Tableau13714" ref="C4:P14" totalsRowShown="0" headerRowDxfId="72" dataDxfId="70" headerRowBorderDxfId="71" tableBorderDxfId="69" totalsRowBorderDxfId="68">
  <autoFilter ref="C4:P14" xr:uid="{00000000-0009-0000-0100-00000D000000}"/>
  <tableColumns count="14">
    <tableColumn id="9" xr3:uid="{00000000-0010-0000-0D00-000009000000}" name="Département" dataDxfId="67"/>
    <tableColumn id="18" xr3:uid="{00000000-0010-0000-0D00-000012000000}" name="Commune" dataDxfId="66"/>
    <tableColumn id="17" xr3:uid="{00000000-0010-0000-0D00-000011000000}" name="Code postal" dataDxfId="65"/>
    <tableColumn id="16" xr3:uid="{00000000-0010-0000-0D00-000010000000}" name="Adresse de l'HDJ" dataDxfId="64"/>
    <tableColumn id="15" xr3:uid="{00000000-0010-0000-0D00-00000F000000}" name="Type de structure" dataDxfId="63"/>
    <tableColumn id="2" xr3:uid="{00000000-0010-0000-0D00-000002000000}" name="Nom de la structure" dataDxfId="62"/>
    <tableColumn id="13" xr3:uid="{00000000-0010-0000-0D00-00000D000000}" name="Intervention Nord-Franche-Comte" dataDxfId="61"/>
    <tableColumn id="8" xr3:uid="{00000000-0010-0000-0D00-000008000000}" name="Statut structure" dataDxfId="60"/>
    <tableColumn id="5" xr3:uid="{00000000-0010-0000-0D00-000005000000}" name="Mail" dataDxfId="59"/>
    <tableColumn id="6" xr3:uid="{00000000-0010-0000-0D00-000006000000}" name="Téléphone de l'HDJ" dataDxfId="58"/>
    <tableColumn id="7" xr3:uid="{00000000-0010-0000-0D00-000007000000}" name="Site" dataDxfId="57"/>
    <tableColumn id="12" xr3:uid="{00000000-0010-0000-0D00-00000C000000}" name="Horaires" dataDxfId="56"/>
    <tableColumn id="11" xr3:uid="{00000000-0010-0000-0D00-00000B000000}" name="Public" dataDxfId="55"/>
    <tableColumn id="14" xr3:uid="{00000000-0010-0000-0D00-00000E000000}" name="Informations complémentaires" dataDxfId="5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E000000}" name="Tableau13714176" displayName="Tableau13714176" ref="C4:P7" totalsRowShown="0" headerRowDxfId="53" dataDxfId="51" headerRowBorderDxfId="52" tableBorderDxfId="50" totalsRowBorderDxfId="49">
  <autoFilter ref="C4:P7" xr:uid="{00000000-0009-0000-0100-000005000000}"/>
  <tableColumns count="14">
    <tableColumn id="9" xr3:uid="{00000000-0010-0000-0E00-000009000000}" name="Département" dataDxfId="48"/>
    <tableColumn id="17" xr3:uid="{00000000-0010-0000-0E00-000011000000}" name="Commune" dataDxfId="47"/>
    <tableColumn id="16" xr3:uid="{00000000-0010-0000-0E00-000010000000}" name="Code postal" dataDxfId="46"/>
    <tableColumn id="15" xr3:uid="{00000000-0010-0000-0E00-00000F000000}" name="Etablissements pénitentiers concernés" dataDxfId="45"/>
    <tableColumn id="14" xr3:uid="{00000000-0010-0000-0E00-00000E000000}" name="Nom de la structure" dataDxfId="44"/>
    <tableColumn id="1" xr3:uid="{00000000-0010-0000-0E00-000001000000}" name="Type de structure" dataDxfId="43"/>
    <tableColumn id="2" xr3:uid="{00000000-0010-0000-0E00-000002000000}" name="Intervention Nord-Franche-Comte" dataDxfId="42"/>
    <tableColumn id="8" xr3:uid="{00000000-0010-0000-0E00-000008000000}" name="Statut structure" dataDxfId="41"/>
    <tableColumn id="5" xr3:uid="{00000000-0010-0000-0E00-000005000000}" name="Mail" dataDxfId="40"/>
    <tableColumn id="6" xr3:uid="{00000000-0010-0000-0E00-000006000000}" name="Téléphone" dataDxfId="39"/>
    <tableColumn id="7" xr3:uid="{00000000-0010-0000-0E00-000007000000}" name="Site" dataDxfId="38"/>
    <tableColumn id="11" xr3:uid="{00000000-0010-0000-0E00-00000B000000}" name="Type d'unité" dataDxfId="37"/>
    <tableColumn id="12" xr3:uid="{00000000-0010-0000-0E00-00000C000000}" name="Niveau d'intervention" dataDxfId="36"/>
    <tableColumn id="18" xr3:uid="{00000000-0010-0000-0E00-000012000000}" name="Informations complémentaires" dataDxfId="35"/>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au1371417" displayName="Tableau1371417" ref="C4:P11" totalsRowShown="0" headerRowDxfId="34" dataDxfId="32" headerRowBorderDxfId="33" tableBorderDxfId="31" totalsRowBorderDxfId="30">
  <autoFilter ref="C4:P11" xr:uid="{00000000-0009-0000-0100-000010000000}"/>
  <tableColumns count="14">
    <tableColumn id="9" xr3:uid="{00000000-0010-0000-0F00-000009000000}" name="Département" dataDxfId="29"/>
    <tableColumn id="18" xr3:uid="{00000000-0010-0000-0F00-000012000000}" name="Commune" dataDxfId="28"/>
    <tableColumn id="17" xr3:uid="{00000000-0010-0000-0F00-000011000000}" name="Code postal" dataDxfId="27"/>
    <tableColumn id="16" xr3:uid="{00000000-0010-0000-0F00-000010000000}" name="Adresse du SMRA" dataDxfId="26"/>
    <tableColumn id="15" xr3:uid="{00000000-0010-0000-0F00-00000F000000}" name="Type de structure" dataDxfId="25"/>
    <tableColumn id="2" xr3:uid="{00000000-0010-0000-0F00-000002000000}" name="Nom de la structure" dataDxfId="24"/>
    <tableColumn id="13" xr3:uid="{00000000-0010-0000-0F00-00000D000000}" name="Intervention Nord-Franche-Comte" dataDxfId="23"/>
    <tableColumn id="8" xr3:uid="{00000000-0010-0000-0F00-000008000000}" name="Statut structure" dataDxfId="22"/>
    <tableColumn id="5" xr3:uid="{00000000-0010-0000-0F00-000005000000}" name="Mail" dataDxfId="21"/>
    <tableColumn id="6" xr3:uid="{00000000-0010-0000-0F00-000006000000}" name="Téléphone du SMRA" dataDxfId="20"/>
    <tableColumn id="7" xr3:uid="{00000000-0010-0000-0F00-000007000000}" name="Site" dataDxfId="19"/>
    <tableColumn id="11" xr3:uid="{00000000-0010-0000-0F00-00000B000000}" name="Public" dataDxfId="18"/>
    <tableColumn id="12" xr3:uid="{00000000-0010-0000-0F00-00000C000000}" name="Le SMRA est-il spécialisé sur un type d’addiction ? " dataDxfId="17"/>
    <tableColumn id="14" xr3:uid="{00000000-0010-0000-0F00-00000E000000}" name="Informations complémentaires" dataDxfId="16"/>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0000000}" name="Tableau2" displayName="Tableau2" ref="B5:N45" totalsRowShown="0" headerRowDxfId="15" dataDxfId="14">
  <autoFilter ref="B5:N45" xr:uid="{00000000-0009-0000-0100-000002000000}"/>
  <sortState xmlns:xlrd2="http://schemas.microsoft.com/office/spreadsheetml/2017/richdata2" ref="B6:N45">
    <sortCondition ref="D5:D45"/>
  </sortState>
  <tableColumns count="13">
    <tableColumn id="1" xr3:uid="{00000000-0010-0000-1000-000001000000}" name="Colonne1" dataDxfId="13"/>
    <tableColumn id="2" xr3:uid="{00000000-0010-0000-1000-000002000000}" name="Département" dataDxfId="12">
      <calculatedColumnFormula>VLOOKUP(Tableau2[[#This Row],[Colonne1]],Tableau124[#All],2,FALSE)</calculatedColumnFormula>
    </tableColumn>
    <tableColumn id="3" xr3:uid="{00000000-0010-0000-1000-000003000000}" name="Commune d'implantation de la structure" dataDxfId="11">
      <calculatedColumnFormula>VLOOKUP(Tableau2[[#This Row],[Colonne1]],Tableau124[#All],3,FALSE)</calculatedColumnFormula>
    </tableColumn>
    <tableColumn id="4" xr3:uid="{00000000-0010-0000-1000-000004000000}" name="Code postal" dataDxfId="10">
      <calculatedColumnFormula>VLOOKUP(Tableau2[[#This Row],[Colonne1]],Tableau124[#All],4,FALSE)</calculatedColumnFormula>
    </tableColumn>
    <tableColumn id="5" xr3:uid="{00000000-0010-0000-1000-000005000000}" name="Adresse" dataDxfId="9">
      <calculatedColumnFormula>VLOOKUP(Tableau2[[#This Row],[Colonne1]],Tableau124[#All],5,FALSE)</calculatedColumnFormula>
    </tableColumn>
    <tableColumn id="6" xr3:uid="{00000000-0010-0000-1000-000006000000}" name="Type de structure" dataDxfId="8">
      <calculatedColumnFormula>VLOOKUP(Tableau2[[#This Row],[Colonne1]],Tableau124[#All],6,FALSE)</calculatedColumnFormula>
    </tableColumn>
    <tableColumn id="7" xr3:uid="{00000000-0010-0000-1000-000007000000}" name="Nom de la structure" dataDxfId="7">
      <calculatedColumnFormula>VLOOKUP(Tableau2[[#This Row],[Colonne1]],Tableau124[#All],7,FALSE)</calculatedColumnFormula>
    </tableColumn>
    <tableColumn id="8" xr3:uid="{00000000-0010-0000-1000-000008000000}" name="Statut de la structure" dataDxfId="6">
      <calculatedColumnFormula>VLOOKUP(Tableau2[[#This Row],[Colonne1]],Tableau124[#All],8,FALSE)</calculatedColumnFormula>
    </tableColumn>
    <tableColumn id="9" xr3:uid="{00000000-0010-0000-1000-000009000000}" name="Mail" dataDxfId="5">
      <calculatedColumnFormula>VLOOKUP(Tableau2[[#This Row],[Colonne1]],Tableau124[#All],9,FALSE)</calculatedColumnFormula>
    </tableColumn>
    <tableColumn id="10" xr3:uid="{00000000-0010-0000-1000-00000A000000}" name="Numéro de téléphone" dataDxfId="4">
      <calculatedColumnFormula>VLOOKUP(Tableau2[[#This Row],[Colonne1]],Tableau124[#All],10,FALSE)</calculatedColumnFormula>
    </tableColumn>
    <tableColumn id="11" xr3:uid="{00000000-0010-0000-1000-00000B000000}" name="Site internet" dataDxfId="3" dataCellStyle="Lien hypertexte">
      <calculatedColumnFormula>VLOOKUP(Tableau2[[#This Row],[Colonne1]],Tableau124[#All],11,FALSE)</calculatedColumnFormula>
    </tableColumn>
    <tableColumn id="12" xr3:uid="{00000000-0010-0000-1000-00000C000000}" name="Jours et horaires" dataDxfId="2">
      <calculatedColumnFormula>VLOOKUP(Tableau2[[#This Row],[Colonne1]],Tableau124[#All],12,FALSE)</calculatedColumnFormula>
    </tableColumn>
    <tableColumn id="13" xr3:uid="{00000000-0010-0000-1000-00000D000000}" name="Informations complémentaires" dataDxfId="1">
      <calculatedColumnFormula>VLOOKUP(Tableau2[[#This Row],[Colonne1]],Tableau124[#All],13,FALSE)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1000000}" name="Tableau9" displayName="Tableau9" ref="B5:N47" totalsRowShown="0" headerRowDxfId="268" headerRowBorderDxfId="267" tableBorderDxfId="266">
  <autoFilter ref="B5:N47" xr:uid="{00000000-0009-0000-0100-000009000000}"/>
  <sortState xmlns:xlrd2="http://schemas.microsoft.com/office/spreadsheetml/2017/richdata2" ref="B6:N47">
    <sortCondition ref="D5:D47"/>
  </sortState>
  <tableColumns count="13">
    <tableColumn id="13" xr3:uid="{00000000-0010-0000-0100-00000D000000}" name="Colonne1" dataDxfId="265"/>
    <tableColumn id="1" xr3:uid="{00000000-0010-0000-0100-000001000000}" name="Département" dataDxfId="264">
      <calculatedColumnFormula>VLOOKUP(Tableau9[[#This Row],[Colonne1]],Tableau124[#All],2,FALSE)</calculatedColumnFormula>
    </tableColumn>
    <tableColumn id="2" xr3:uid="{00000000-0010-0000-0100-000002000000}" name="Commune d'implantation de la structure" dataDxfId="263">
      <calculatedColumnFormula>VLOOKUP(Tableau9[[#This Row],[Colonne1]],Tableau124[#All],3,FALSE)</calculatedColumnFormula>
    </tableColumn>
    <tableColumn id="3" xr3:uid="{00000000-0010-0000-0100-000003000000}" name="Code postal" dataDxfId="262">
      <calculatedColumnFormula>VLOOKUP(Tableau9[[#This Row],[Colonne1]],Tableau124[#All],4,FALSE)</calculatedColumnFormula>
    </tableColumn>
    <tableColumn id="4" xr3:uid="{00000000-0010-0000-0100-000004000000}" name="Adresse" dataDxfId="261">
      <calculatedColumnFormula>VLOOKUP(Tableau9[[#This Row],[Colonne1]],Tableau124[#All],5,FALSE)</calculatedColumnFormula>
    </tableColumn>
    <tableColumn id="5" xr3:uid="{00000000-0010-0000-0100-000005000000}" name="Type de structure" dataDxfId="260">
      <calculatedColumnFormula>VLOOKUP(Tableau9[[#This Row],[Colonne1]],Tableau124[#All],6,FALSE)</calculatedColumnFormula>
    </tableColumn>
    <tableColumn id="6" xr3:uid="{00000000-0010-0000-0100-000006000000}" name="Nom de la structure" dataDxfId="259">
      <calculatedColumnFormula>VLOOKUP(Tableau9[[#This Row],[Colonne1]],Tableau124[#All],7,FALSE)</calculatedColumnFormula>
    </tableColumn>
    <tableColumn id="7" xr3:uid="{00000000-0010-0000-0100-000007000000}" name="Statut de la structure" dataDxfId="258">
      <calculatedColumnFormula>VLOOKUP(Tableau9[[#This Row],[Colonne1]],Tableau124[#All],8,FALSE)</calculatedColumnFormula>
    </tableColumn>
    <tableColumn id="8" xr3:uid="{00000000-0010-0000-0100-000008000000}" name="Mail" dataDxfId="257" dataCellStyle="Lien hypertexte">
      <calculatedColumnFormula>VLOOKUP(Tableau9[[#This Row],[Colonne1]],Tableau124[#All],9,FALSE)</calculatedColumnFormula>
    </tableColumn>
    <tableColumn id="9" xr3:uid="{00000000-0010-0000-0100-000009000000}" name="Numéro de téléphone" dataDxfId="256">
      <calculatedColumnFormula>VLOOKUP(Tableau9[[#This Row],[Colonne1]],Tableau124[#All],10,FALSE)</calculatedColumnFormula>
    </tableColumn>
    <tableColumn id="10" xr3:uid="{00000000-0010-0000-0100-00000A000000}" name="Site internet" dataDxfId="255" dataCellStyle="Lien hypertexte">
      <calculatedColumnFormula>VLOOKUP(Tableau9[[#This Row],[Colonne1]],Tableau124[#All],11,FALSE)</calculatedColumnFormula>
    </tableColumn>
    <tableColumn id="11" xr3:uid="{00000000-0010-0000-0100-00000B000000}" name="Jours et horaires" dataDxfId="254">
      <calculatedColumnFormula>VLOOKUP(Tableau9[[#This Row],[Colonne1]],Tableau124[#All],12,FALSE)</calculatedColumnFormula>
    </tableColumn>
    <tableColumn id="12" xr3:uid="{00000000-0010-0000-0100-00000C000000}" name="Informations complémentaires" dataDxfId="253">
      <calculatedColumnFormula>VLOOKUP(Tableau9[[#This Row],[Colonne1]],Tableau124[#All],13,FALSE)</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Tableau12" displayName="Tableau12" ref="B5:N30" totalsRowShown="0" headerRowDxfId="252" headerRowBorderDxfId="251" tableBorderDxfId="250">
  <autoFilter ref="B5:N30" xr:uid="{00000000-0009-0000-0100-00000C000000}"/>
  <sortState xmlns:xlrd2="http://schemas.microsoft.com/office/spreadsheetml/2017/richdata2" ref="B6:N30">
    <sortCondition ref="D5:D30"/>
  </sortState>
  <tableColumns count="13">
    <tableColumn id="13" xr3:uid="{00000000-0010-0000-0200-00000D000000}" name="Colonne1" dataDxfId="249"/>
    <tableColumn id="1" xr3:uid="{00000000-0010-0000-0200-000001000000}" name="Département" dataDxfId="248">
      <calculatedColumnFormula>VLOOKUP(Tableau12[[#This Row],[Colonne1]],Tableau124[#All],2,FALSE)</calculatedColumnFormula>
    </tableColumn>
    <tableColumn id="2" xr3:uid="{00000000-0010-0000-0200-000002000000}" name="Commune d'implantation de la structure" dataDxfId="247">
      <calculatedColumnFormula>VLOOKUP(Tableau12[[#This Row],[Colonne1]],Tableau124[#All],3,FALSE)</calculatedColumnFormula>
    </tableColumn>
    <tableColumn id="3" xr3:uid="{00000000-0010-0000-0200-000003000000}" name="Code postal" dataDxfId="246">
      <calculatedColumnFormula>VLOOKUP(Tableau12[[#This Row],[Colonne1]],Tableau124[#All],4,FALSE)</calculatedColumnFormula>
    </tableColumn>
    <tableColumn id="4" xr3:uid="{00000000-0010-0000-0200-000004000000}" name="Adresse" dataDxfId="245">
      <calculatedColumnFormula>VLOOKUP(Tableau12[[#This Row],[Colonne1]],Tableau124[#All],5,FALSE)</calculatedColumnFormula>
    </tableColumn>
    <tableColumn id="5" xr3:uid="{00000000-0010-0000-0200-000005000000}" name="Type de structure" dataDxfId="244">
      <calculatedColumnFormula>VLOOKUP(Tableau12[[#This Row],[Colonne1]],Tableau124[#All],6,FALSE)</calculatedColumnFormula>
    </tableColumn>
    <tableColumn id="6" xr3:uid="{00000000-0010-0000-0200-000006000000}" name="Nom de la structure" dataDxfId="243">
      <calculatedColumnFormula>VLOOKUP(Tableau12[[#This Row],[Colonne1]],Tableau124[#All],7,FALSE)</calculatedColumnFormula>
    </tableColumn>
    <tableColumn id="7" xr3:uid="{00000000-0010-0000-0200-000007000000}" name="Statut de la structure" dataDxfId="242">
      <calculatedColumnFormula>VLOOKUP(Tableau12[[#This Row],[Colonne1]],Tableau124[#All],8,FALSE)</calculatedColumnFormula>
    </tableColumn>
    <tableColumn id="8" xr3:uid="{00000000-0010-0000-0200-000008000000}" name="Mail" dataDxfId="241" dataCellStyle="Lien hypertexte">
      <calculatedColumnFormula>VLOOKUP(Tableau12[[#This Row],[Colonne1]],Tableau124[#All],9,FALSE)</calculatedColumnFormula>
    </tableColumn>
    <tableColumn id="9" xr3:uid="{00000000-0010-0000-0200-000009000000}" name="Numéro de téléphone" dataDxfId="240">
      <calculatedColumnFormula>VLOOKUP(Tableau12[[#This Row],[Colonne1]],Tableau124[#All],10,FALSE)</calculatedColumnFormula>
    </tableColumn>
    <tableColumn id="10" xr3:uid="{00000000-0010-0000-0200-00000A000000}" name="Site internet" dataDxfId="239">
      <calculatedColumnFormula>VLOOKUP(Tableau12[[#This Row],[Colonne1]],Tableau124[#All],11,FALSE)</calculatedColumnFormula>
    </tableColumn>
    <tableColumn id="11" xr3:uid="{00000000-0010-0000-0200-00000B000000}" name="Jours et horaires" dataDxfId="238">
      <calculatedColumnFormula>VLOOKUP(Tableau12[[#This Row],[Colonne1]],Tableau124[#All],12,FALSE)</calculatedColumnFormula>
    </tableColumn>
    <tableColumn id="12" xr3:uid="{00000000-0010-0000-0200-00000C000000}" name="Informations complémentaires" dataDxfId="237">
      <calculatedColumnFormula>VLOOKUP(Tableau12[[#This Row],[Colonne1]],Tableau124[#All],13,FALSE)</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eau8" displayName="Tableau8" ref="B5:N23" totalsRowShown="0" headerRowDxfId="236" tableBorderDxfId="235">
  <autoFilter ref="B5:N23" xr:uid="{00000000-0009-0000-0100-000008000000}"/>
  <sortState xmlns:xlrd2="http://schemas.microsoft.com/office/spreadsheetml/2017/richdata2" ref="B6:N23">
    <sortCondition ref="D5:D23"/>
  </sortState>
  <tableColumns count="13">
    <tableColumn id="1" xr3:uid="{00000000-0010-0000-0300-000001000000}" name="Colonne1" dataDxfId="234"/>
    <tableColumn id="2" xr3:uid="{00000000-0010-0000-0300-000002000000}" name="Département" dataDxfId="233">
      <calculatedColumnFormula>VLOOKUP(Tableau8[[#This Row],[Colonne1]],Tableau124[#All],2,FALSE)</calculatedColumnFormula>
    </tableColumn>
    <tableColumn id="3" xr3:uid="{00000000-0010-0000-0300-000003000000}" name="Commune d'implantation de la structure" dataDxfId="232">
      <calculatedColumnFormula>VLOOKUP(Tableau8[[#This Row],[Colonne1]],Tableau124[#All],3,FALSE)</calculatedColumnFormula>
    </tableColumn>
    <tableColumn id="4" xr3:uid="{00000000-0010-0000-0300-000004000000}" name="Code postal" dataDxfId="231">
      <calculatedColumnFormula>VLOOKUP(Tableau8[[#This Row],[Colonne1]],Tableau124[#All],4,FALSE)</calculatedColumnFormula>
    </tableColumn>
    <tableColumn id="5" xr3:uid="{00000000-0010-0000-0300-000005000000}" name="Adresse" dataDxfId="230">
      <calculatedColumnFormula>VLOOKUP(Tableau8[[#This Row],[Colonne1]],Tableau124[#All],5,FALSE)</calculatedColumnFormula>
    </tableColumn>
    <tableColumn id="6" xr3:uid="{00000000-0010-0000-0300-000006000000}" name="Type de structure" dataDxfId="229">
      <calculatedColumnFormula>VLOOKUP(Tableau8[[#This Row],[Colonne1]],Tableau124[#All],6,FALSE)</calculatedColumnFormula>
    </tableColumn>
    <tableColumn id="7" xr3:uid="{00000000-0010-0000-0300-000007000000}" name="Nom de la structure" dataDxfId="228">
      <calculatedColumnFormula>VLOOKUP(Tableau8[[#This Row],[Colonne1]],Tableau124[#All],7,FALSE)</calculatedColumnFormula>
    </tableColumn>
    <tableColumn id="8" xr3:uid="{00000000-0010-0000-0300-000008000000}" name="Statut de la structure" dataDxfId="227">
      <calculatedColumnFormula>VLOOKUP(Tableau8[[#This Row],[Colonne1]],Tableau124[#All],8,FALSE)</calculatedColumnFormula>
    </tableColumn>
    <tableColumn id="9" xr3:uid="{00000000-0010-0000-0300-000009000000}" name="Mail" dataDxfId="226">
      <calculatedColumnFormula>VLOOKUP(Tableau8[[#This Row],[Colonne1]],Tableau124[#All],9,FALSE)</calculatedColumnFormula>
    </tableColumn>
    <tableColumn id="10" xr3:uid="{00000000-0010-0000-0300-00000A000000}" name="Numéro de téléphone" dataDxfId="225">
      <calculatedColumnFormula>VLOOKUP(Tableau8[[#This Row],[Colonne1]],Tableau124[#All],10,FALSE)</calculatedColumnFormula>
    </tableColumn>
    <tableColumn id="11" xr3:uid="{00000000-0010-0000-0300-00000B000000}" name="Site internet" dataDxfId="224">
      <calculatedColumnFormula>VLOOKUP(Tableau8[[#This Row],[Colonne1]],Tableau124[#All],11,FALSE)</calculatedColumnFormula>
    </tableColumn>
    <tableColumn id="12" xr3:uid="{00000000-0010-0000-0300-00000C000000}" name="Jours et horaires" dataDxfId="223">
      <calculatedColumnFormula>VLOOKUP(Tableau8[[#This Row],[Colonne1]],Tableau124[#All],12,FALSE)</calculatedColumnFormula>
    </tableColumn>
    <tableColumn id="13" xr3:uid="{00000000-0010-0000-0300-00000D000000}" name="Informations complémentaires" dataDxfId="222">
      <calculatedColumnFormula>VLOOKUP(Tableau8[[#This Row],[Colonne1]],Tableau124[#All],13,FALSE)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ableau11" displayName="Tableau11" ref="B5:N43" totalsRowShown="0" headerRowDxfId="221" headerRowBorderDxfId="220" tableBorderDxfId="219">
  <autoFilter ref="B5:N43" xr:uid="{00000000-0009-0000-0100-00000B000000}"/>
  <sortState xmlns:xlrd2="http://schemas.microsoft.com/office/spreadsheetml/2017/richdata2" ref="B6:N43">
    <sortCondition ref="D5:D43"/>
  </sortState>
  <tableColumns count="13">
    <tableColumn id="13" xr3:uid="{00000000-0010-0000-0400-00000D000000}" name="Colonne1" dataDxfId="218"/>
    <tableColumn id="1" xr3:uid="{00000000-0010-0000-0400-000001000000}" name="Département" dataDxfId="217">
      <calculatedColumnFormula>VLOOKUP(Tableau11[[#This Row],[Colonne1]],Tableau124[#All],2,FALSE)</calculatedColumnFormula>
    </tableColumn>
    <tableColumn id="2" xr3:uid="{00000000-0010-0000-0400-000002000000}" name="Commune d'implantation de la structure" dataDxfId="216">
      <calculatedColumnFormula>VLOOKUP(Tableau11[[#This Row],[Colonne1]],Tableau124[#All],3,FALSE)</calculatedColumnFormula>
    </tableColumn>
    <tableColumn id="3" xr3:uid="{00000000-0010-0000-0400-000003000000}" name="Code postal" dataDxfId="215">
      <calculatedColumnFormula>VLOOKUP(Tableau11[[#This Row],[Colonne1]],Tableau124[#All],4,FALSE)</calculatedColumnFormula>
    </tableColumn>
    <tableColumn id="4" xr3:uid="{00000000-0010-0000-0400-000004000000}" name="Adresse" dataDxfId="214">
      <calculatedColumnFormula>VLOOKUP(Tableau11[[#This Row],[Colonne1]],Tableau124[#All],5,FALSE)</calculatedColumnFormula>
    </tableColumn>
    <tableColumn id="5" xr3:uid="{00000000-0010-0000-0400-000005000000}" name="Type de structure" dataDxfId="213">
      <calculatedColumnFormula>VLOOKUP(Tableau11[[#This Row],[Colonne1]],Tableau124[#All],6,FALSE)</calculatedColumnFormula>
    </tableColumn>
    <tableColumn id="6" xr3:uid="{00000000-0010-0000-0400-000006000000}" name="Nom de la structure" dataDxfId="212">
      <calculatedColumnFormula>VLOOKUP(Tableau11[[#This Row],[Colonne1]],Tableau124[#All],7,FALSE)</calculatedColumnFormula>
    </tableColumn>
    <tableColumn id="7" xr3:uid="{00000000-0010-0000-0400-000007000000}" name="Statut de la structure" dataDxfId="211">
      <calculatedColumnFormula>VLOOKUP(Tableau11[[#This Row],[Colonne1]],Tableau124[#All],8,FALSE)</calculatedColumnFormula>
    </tableColumn>
    <tableColumn id="8" xr3:uid="{00000000-0010-0000-0400-000008000000}" name="Mail" dataDxfId="210" dataCellStyle="Lien hypertexte">
      <calculatedColumnFormula>VLOOKUP(Tableau11[[#This Row],[Colonne1]],Tableau124[#All],9,FALSE)</calculatedColumnFormula>
    </tableColumn>
    <tableColumn id="9" xr3:uid="{00000000-0010-0000-0400-000009000000}" name="Numéro de téléphone" dataDxfId="209">
      <calculatedColumnFormula>VLOOKUP(Tableau11[[#This Row],[Colonne1]],Tableau124[#All],10,FALSE)</calculatedColumnFormula>
    </tableColumn>
    <tableColumn id="10" xr3:uid="{00000000-0010-0000-0400-00000A000000}" name="Site internet" dataDxfId="208">
      <calculatedColumnFormula>VLOOKUP(Tableau11[[#This Row],[Colonne1]],Tableau124[#All],11,FALSE)</calculatedColumnFormula>
    </tableColumn>
    <tableColumn id="11" xr3:uid="{00000000-0010-0000-0400-00000B000000}" name="Jours et horaires" dataDxfId="207">
      <calculatedColumnFormula>VLOOKUP(Tableau11[[#This Row],[Colonne1]],Tableau124[#All],12,FALSE)</calculatedColumnFormula>
    </tableColumn>
    <tableColumn id="12" xr3:uid="{00000000-0010-0000-0400-00000C000000}" name="Informations complémentaires" dataDxfId="206">
      <calculatedColumnFormula>VLOOKUP(Tableau11[[#This Row],[Colonne1]],Tableau124[#All],13,FALSE)</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au10" displayName="Tableau10" ref="B5:N35" totalsRowShown="0" headerRowDxfId="205" tableBorderDxfId="204">
  <autoFilter ref="B5:N35" xr:uid="{00000000-0009-0000-0100-00000A000000}"/>
  <sortState xmlns:xlrd2="http://schemas.microsoft.com/office/spreadsheetml/2017/richdata2" ref="B6:N35">
    <sortCondition ref="D5:D35"/>
  </sortState>
  <tableColumns count="13">
    <tableColumn id="1" xr3:uid="{00000000-0010-0000-0500-000001000000}" name="Colonne1" dataDxfId="203"/>
    <tableColumn id="2" xr3:uid="{00000000-0010-0000-0500-000002000000}" name="Département" dataDxfId="202">
      <calculatedColumnFormula>VLOOKUP(Tableau10[[#This Row],[Colonne1]],Tableau124[#All],2,FALSE)</calculatedColumnFormula>
    </tableColumn>
    <tableColumn id="3" xr3:uid="{00000000-0010-0000-0500-000003000000}" name="Commune d'implantation de la structure" dataDxfId="201">
      <calculatedColumnFormula>VLOOKUP(Tableau10[[#This Row],[Colonne1]],Tableau124[#All],3,FALSE)</calculatedColumnFormula>
    </tableColumn>
    <tableColumn id="4" xr3:uid="{00000000-0010-0000-0500-000004000000}" name="Code postal" dataDxfId="200">
      <calculatedColumnFormula>VLOOKUP(Tableau10[[#This Row],[Colonne1]],Tableau124[#All],4,FALSE)</calculatedColumnFormula>
    </tableColumn>
    <tableColumn id="5" xr3:uid="{00000000-0010-0000-0500-000005000000}" name="Adresse" dataDxfId="199">
      <calculatedColumnFormula>VLOOKUP(Tableau10[[#This Row],[Colonne1]],Tableau124[#All],5,FALSE)</calculatedColumnFormula>
    </tableColumn>
    <tableColumn id="6" xr3:uid="{00000000-0010-0000-0500-000006000000}" name="Type de structure" dataDxfId="198">
      <calculatedColumnFormula>VLOOKUP(Tableau10[[#This Row],[Colonne1]],Tableau124[#All],6,FALSE)</calculatedColumnFormula>
    </tableColumn>
    <tableColumn id="7" xr3:uid="{00000000-0010-0000-0500-000007000000}" name="Nom de la structure" dataDxfId="197">
      <calculatedColumnFormula>VLOOKUP(Tableau10[[#This Row],[Colonne1]],Tableau124[#All],7,FALSE)</calculatedColumnFormula>
    </tableColumn>
    <tableColumn id="8" xr3:uid="{00000000-0010-0000-0500-000008000000}" name="Statut de la structure" dataDxfId="196">
      <calculatedColumnFormula>VLOOKUP(Tableau10[[#This Row],[Colonne1]],Tableau124[#All],8,FALSE)</calculatedColumnFormula>
    </tableColumn>
    <tableColumn id="9" xr3:uid="{00000000-0010-0000-0500-000009000000}" name="Mail" dataDxfId="195">
      <calculatedColumnFormula>VLOOKUP(Tableau10[[#This Row],[Colonne1]],Tableau124[#All],9,FALSE)</calculatedColumnFormula>
    </tableColumn>
    <tableColumn id="10" xr3:uid="{00000000-0010-0000-0500-00000A000000}" name="Numéro de téléphone" dataDxfId="194">
      <calculatedColumnFormula>VLOOKUP(Tableau10[[#This Row],[Colonne1]],Tableau124[#All],10,FALSE)</calculatedColumnFormula>
    </tableColumn>
    <tableColumn id="11" xr3:uid="{00000000-0010-0000-0500-00000B000000}" name="Site internet" dataDxfId="193">
      <calculatedColumnFormula>VLOOKUP(Tableau10[[#This Row],[Colonne1]],Tableau124[#All],11,FALSE)</calculatedColumnFormula>
    </tableColumn>
    <tableColumn id="12" xr3:uid="{00000000-0010-0000-0500-00000C000000}" name="Jours et horaires" dataDxfId="192">
      <calculatedColumnFormula>VLOOKUP(Tableau10[[#This Row],[Colonne1]],Tableau124[#All],12,FALSE)</calculatedColumnFormula>
    </tableColumn>
    <tableColumn id="13" xr3:uid="{00000000-0010-0000-0500-00000D000000}" name="Informations complémentaires" dataDxfId="191">
      <calculatedColumnFormula>VLOOKUP(Tableau10[[#This Row],[Colonne1]],Tableau124[#All],13,FALSE)</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eau15" displayName="Tableau15" ref="B5:N35" totalsRowShown="0" headerRowDxfId="190" tableBorderDxfId="189">
  <autoFilter ref="B5:N35" xr:uid="{00000000-0009-0000-0100-00000E000000}"/>
  <sortState xmlns:xlrd2="http://schemas.microsoft.com/office/spreadsheetml/2017/richdata2" ref="B6:N35">
    <sortCondition ref="D5:D35"/>
  </sortState>
  <tableColumns count="13">
    <tableColumn id="1" xr3:uid="{00000000-0010-0000-0600-000001000000}" name="Colonne1" dataDxfId="188"/>
    <tableColumn id="2" xr3:uid="{00000000-0010-0000-0600-000002000000}" name="Département" dataDxfId="187">
      <calculatedColumnFormula>VLOOKUP(Tableau15[[#This Row],[Colonne1]],Tableau124[#All],2,FALSE)</calculatedColumnFormula>
    </tableColumn>
    <tableColumn id="3" xr3:uid="{00000000-0010-0000-0600-000003000000}" name="Commune d'implantation de la structure" dataDxfId="186">
      <calculatedColumnFormula>VLOOKUP(Tableau15[[#This Row],[Colonne1]],Tableau124[#All],3,FALSE)</calculatedColumnFormula>
    </tableColumn>
    <tableColumn id="4" xr3:uid="{00000000-0010-0000-0600-000004000000}" name="Code postal" dataDxfId="185">
      <calculatedColumnFormula>VLOOKUP(Tableau15[[#This Row],[Colonne1]],Tableau124[#All],4,FALSE)</calculatedColumnFormula>
    </tableColumn>
    <tableColumn id="5" xr3:uid="{00000000-0010-0000-0600-000005000000}" name="Adresse" dataDxfId="184">
      <calculatedColumnFormula>VLOOKUP(Tableau15[[#This Row],[Colonne1]],Tableau124[#All],5,FALSE)</calculatedColumnFormula>
    </tableColumn>
    <tableColumn id="6" xr3:uid="{00000000-0010-0000-0600-000006000000}" name="Type de structure" dataDxfId="183">
      <calculatedColumnFormula>VLOOKUP(Tableau15[[#This Row],[Colonne1]],Tableau124[#All],6,FALSE)</calculatedColumnFormula>
    </tableColumn>
    <tableColumn id="7" xr3:uid="{00000000-0010-0000-0600-000007000000}" name="Nom de la structure" dataDxfId="182">
      <calculatedColumnFormula>VLOOKUP(Tableau15[[#This Row],[Colonne1]],Tableau124[#All],7,FALSE)</calculatedColumnFormula>
    </tableColumn>
    <tableColumn id="8" xr3:uid="{00000000-0010-0000-0600-000008000000}" name="Statut de la structure" dataDxfId="181">
      <calculatedColumnFormula>VLOOKUP(Tableau15[[#This Row],[Colonne1]],Tableau124[#All],8,FALSE)</calculatedColumnFormula>
    </tableColumn>
    <tableColumn id="9" xr3:uid="{00000000-0010-0000-0600-000009000000}" name="Mail" dataDxfId="180">
      <calculatedColumnFormula>VLOOKUP(Tableau15[[#This Row],[Colonne1]],Tableau124[#All],9,FALSE)</calculatedColumnFormula>
    </tableColumn>
    <tableColumn id="10" xr3:uid="{00000000-0010-0000-0600-00000A000000}" name="Numéro de téléphone" dataDxfId="179">
      <calculatedColumnFormula>VLOOKUP(Tableau15[[#This Row],[Colonne1]],Tableau124[#All],10,FALSE)</calculatedColumnFormula>
    </tableColumn>
    <tableColumn id="11" xr3:uid="{00000000-0010-0000-0600-00000B000000}" name="Site internet" dataDxfId="178">
      <calculatedColumnFormula>VLOOKUP(Tableau15[[#This Row],[Colonne1]],Tableau124[#All],11,FALSE)</calculatedColumnFormula>
    </tableColumn>
    <tableColumn id="12" xr3:uid="{00000000-0010-0000-0600-00000C000000}" name="Jours et horaires" dataDxfId="177">
      <calculatedColumnFormula>VLOOKUP(Tableau15[[#This Row],[Colonne1]],Tableau124[#All],12,FALSE)</calculatedColumnFormula>
    </tableColumn>
    <tableColumn id="13" xr3:uid="{00000000-0010-0000-0600-00000D000000}" name="Informations complémentaires" dataDxfId="176">
      <calculatedColumnFormula>VLOOKUP(Tableau15[[#This Row],[Colonne1]],Tableau124[#All],13,FALSE)</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7000000}" name="Tableau17" displayName="Tableau17" ref="B5:N39" totalsRowShown="0" headerRowDxfId="175" tableBorderDxfId="174">
  <autoFilter ref="B5:N39" xr:uid="{00000000-0009-0000-0100-000011000000}"/>
  <sortState xmlns:xlrd2="http://schemas.microsoft.com/office/spreadsheetml/2017/richdata2" ref="B6:N39">
    <sortCondition ref="D5:D39"/>
  </sortState>
  <tableColumns count="13">
    <tableColumn id="1" xr3:uid="{00000000-0010-0000-0700-000001000000}" name="Colonne1" dataDxfId="173"/>
    <tableColumn id="2" xr3:uid="{00000000-0010-0000-0700-000002000000}" name="Département" dataDxfId="172">
      <calculatedColumnFormula>VLOOKUP(Tableau17[[#This Row],[Colonne1]],Tableau124[#All],2,FALSE)</calculatedColumnFormula>
    </tableColumn>
    <tableColumn id="3" xr3:uid="{00000000-0010-0000-0700-000003000000}" name="Commune d'implantation de la structure" dataDxfId="171">
      <calculatedColumnFormula>VLOOKUP(Tableau17[[#This Row],[Colonne1]],Tableau124[#All],3,FALSE)</calculatedColumnFormula>
    </tableColumn>
    <tableColumn id="4" xr3:uid="{00000000-0010-0000-0700-000004000000}" name="Code postal" dataDxfId="170">
      <calculatedColumnFormula>VLOOKUP(Tableau17[[#This Row],[Colonne1]],Tableau124[#All],4,FALSE)</calculatedColumnFormula>
    </tableColumn>
    <tableColumn id="5" xr3:uid="{00000000-0010-0000-0700-000005000000}" name="Adresse" dataDxfId="169">
      <calculatedColumnFormula>VLOOKUP(Tableau17[[#This Row],[Colonne1]],Tableau124[#All],5,FALSE)</calculatedColumnFormula>
    </tableColumn>
    <tableColumn id="6" xr3:uid="{00000000-0010-0000-0700-000006000000}" name="Type de structure" dataDxfId="168">
      <calculatedColumnFormula>VLOOKUP(Tableau17[[#This Row],[Colonne1]],Tableau124[#All],6,FALSE)</calculatedColumnFormula>
    </tableColumn>
    <tableColumn id="7" xr3:uid="{00000000-0010-0000-0700-000007000000}" name="Nom de la structure" dataDxfId="167">
      <calculatedColumnFormula>VLOOKUP(Tableau17[[#This Row],[Colonne1]],Tableau124[#All],7,FALSE)</calculatedColumnFormula>
    </tableColumn>
    <tableColumn id="8" xr3:uid="{00000000-0010-0000-0700-000008000000}" name="Statut de la structure" dataDxfId="166">
      <calculatedColumnFormula>VLOOKUP(Tableau17[[#This Row],[Colonne1]],Tableau124[#All],8,FALSE)</calculatedColumnFormula>
    </tableColumn>
    <tableColumn id="9" xr3:uid="{00000000-0010-0000-0700-000009000000}" name="Mail" dataDxfId="165">
      <calculatedColumnFormula>VLOOKUP(Tableau17[[#This Row],[Colonne1]],Tableau124[#All],9,FALSE)</calculatedColumnFormula>
    </tableColumn>
    <tableColumn id="10" xr3:uid="{00000000-0010-0000-0700-00000A000000}" name="Numéro de téléphone" dataDxfId="164">
      <calculatedColumnFormula>VLOOKUP(Tableau17[[#This Row],[Colonne1]],Tableau124[#All],10,FALSE)</calculatedColumnFormula>
    </tableColumn>
    <tableColumn id="11" xr3:uid="{00000000-0010-0000-0700-00000B000000}" name="Site internet" dataDxfId="163" dataCellStyle="Lien hypertexte">
      <calculatedColumnFormula>VLOOKUP(Tableau17[[#This Row],[Colonne1]],Tableau124[#All],11,FALSE)</calculatedColumnFormula>
    </tableColumn>
    <tableColumn id="12" xr3:uid="{00000000-0010-0000-0700-00000C000000}" name="Jours et horaires" dataDxfId="162">
      <calculatedColumnFormula>VLOOKUP(Tableau17[[#This Row],[Colonne1]],Tableau124[#All],12,FALSE)</calculatedColumnFormula>
    </tableColumn>
    <tableColumn id="13" xr3:uid="{00000000-0010-0000-0700-00000D000000}" name="Informations complémentaires" dataDxfId="161">
      <calculatedColumnFormula>VLOOKUP(Tableau17[[#This Row],[Colonne1]],Tableau124[#All],13,FALSE)</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Tableau1" displayName="Tableau1" ref="B5:N16" totalsRowShown="0" headerRowDxfId="160" tableBorderDxfId="159">
  <autoFilter ref="B5:N16" xr:uid="{00000000-0009-0000-0100-000001000000}"/>
  <sortState xmlns:xlrd2="http://schemas.microsoft.com/office/spreadsheetml/2017/richdata2" ref="B6:N16">
    <sortCondition ref="D5:D16"/>
  </sortState>
  <tableColumns count="13">
    <tableColumn id="1" xr3:uid="{00000000-0010-0000-0800-000001000000}" name="Colonne1" dataDxfId="158"/>
    <tableColumn id="2" xr3:uid="{00000000-0010-0000-0800-000002000000}" name="Département" dataDxfId="157">
      <calculatedColumnFormula>VLOOKUP(Tableau1[[#This Row],[Colonne1]],Tableau124[#All],2,FALSE)</calculatedColumnFormula>
    </tableColumn>
    <tableColumn id="3" xr3:uid="{00000000-0010-0000-0800-000003000000}" name="Commune d'implantation de la structure" dataDxfId="156">
      <calculatedColumnFormula>VLOOKUP(Tableau1[[#This Row],[Colonne1]],Tableau124[#All],3,FALSE)</calculatedColumnFormula>
    </tableColumn>
    <tableColumn id="4" xr3:uid="{00000000-0010-0000-0800-000004000000}" name="Code postal" dataDxfId="155">
      <calculatedColumnFormula>VLOOKUP(Tableau1[[#This Row],[Colonne1]],Tableau124[#All],4,FALSE)</calculatedColumnFormula>
    </tableColumn>
    <tableColumn id="5" xr3:uid="{00000000-0010-0000-0800-000005000000}" name="Adresse" dataDxfId="154">
      <calculatedColumnFormula>VLOOKUP(Tableau1[[#This Row],[Colonne1]],Tableau124[#All],5,FALSE)</calculatedColumnFormula>
    </tableColumn>
    <tableColumn id="6" xr3:uid="{00000000-0010-0000-0800-000006000000}" name="Type de structure" dataDxfId="153">
      <calculatedColumnFormula>VLOOKUP(Tableau1[[#This Row],[Colonne1]],Tableau124[#All],6,FALSE)</calculatedColumnFormula>
    </tableColumn>
    <tableColumn id="7" xr3:uid="{00000000-0010-0000-0800-000007000000}" name="Nom de la structure" dataDxfId="152">
      <calculatedColumnFormula>VLOOKUP(Tableau1[[#This Row],[Colonne1]],Tableau124[#All],7,FALSE)</calculatedColumnFormula>
    </tableColumn>
    <tableColumn id="8" xr3:uid="{00000000-0010-0000-0800-000008000000}" name="Statut de la structure" dataDxfId="151">
      <calculatedColumnFormula>VLOOKUP(Tableau1[[#This Row],[Colonne1]],Tableau124[#All],8,FALSE)</calculatedColumnFormula>
    </tableColumn>
    <tableColumn id="9" xr3:uid="{00000000-0010-0000-0800-000009000000}" name="Mail" dataDxfId="150">
      <calculatedColumnFormula>VLOOKUP(Tableau1[[#This Row],[Colonne1]],Tableau124[#All],9,FALSE)</calculatedColumnFormula>
    </tableColumn>
    <tableColumn id="10" xr3:uid="{00000000-0010-0000-0800-00000A000000}" name="Numéro de téléphone" dataDxfId="149">
      <calculatedColumnFormula>VLOOKUP(Tableau1[[#This Row],[Colonne1]],Tableau124[#All],10,FALSE)</calculatedColumnFormula>
    </tableColumn>
    <tableColumn id="11" xr3:uid="{00000000-0010-0000-0800-00000B000000}" name="Site internet" dataDxfId="148">
      <calculatedColumnFormula>VLOOKUP(Tableau1[[#This Row],[Colonne1]],Tableau124[#All],11,FALSE)</calculatedColumnFormula>
    </tableColumn>
    <tableColumn id="12" xr3:uid="{00000000-0010-0000-0800-00000C000000}" name="Jours et horaires" dataDxfId="147">
      <calculatedColumnFormula>VLOOKUP(Tableau1[[#This Row],[Colonne1]],Tableau124[#All],12,FALSE)</calculatedColumnFormula>
    </tableColumn>
    <tableColumn id="13" xr3:uid="{00000000-0010-0000-0800-00000D000000}" name="Informations complémentaires" dataDxfId="146">
      <calculatedColumnFormula>VLOOKUP(Tableau1[[#This Row],[Colonne1]],Tableau124[#All],13,FALSE)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57" dT="2023-06-08T12:21:05.55" personId="{FE76523A-C084-4FB2-AA65-2FDFA8501FDD}" id="{3637A49F-0FA8-4DB4-9799-3FB713A17B4E}">
    <text>à modifier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mailto:communication@ch-dole.fr" TargetMode="External"/><Relationship Id="rId3" Type="http://schemas.openxmlformats.org/officeDocument/2006/relationships/hyperlink" Target="http://www.ch-semur.fr/" TargetMode="External"/><Relationship Id="rId7" Type="http://schemas.openxmlformats.org/officeDocument/2006/relationships/hyperlink" Target="mailto:direction.generale@hopitaux-jura.fr" TargetMode="External"/><Relationship Id="rId12" Type="http://schemas.openxmlformats.org/officeDocument/2006/relationships/table" Target="../tables/table11.xml"/><Relationship Id="rId2" Type="http://schemas.openxmlformats.org/officeDocument/2006/relationships/hyperlink" Target="http://www.chsjura.fr/" TargetMode="External"/><Relationship Id="rId1" Type="http://schemas.openxmlformats.org/officeDocument/2006/relationships/hyperlink" Target="https://hopitaux-jura.fr/" TargetMode="External"/><Relationship Id="rId6" Type="http://schemas.openxmlformats.org/officeDocument/2006/relationships/hyperlink" Target="mailto:contact@gh70.fr" TargetMode="External"/><Relationship Id="rId11" Type="http://schemas.openxmlformats.org/officeDocument/2006/relationships/printerSettings" Target="../printerSettings/printerSettings12.bin"/><Relationship Id="rId5" Type="http://schemas.openxmlformats.org/officeDocument/2006/relationships/hyperlink" Target="http://www.chs-yonne.fr/" TargetMode="External"/><Relationship Id="rId10" Type="http://schemas.openxmlformats.org/officeDocument/2006/relationships/hyperlink" Target="mailto:contact@ch-montceau71.fr" TargetMode="External"/><Relationship Id="rId4" Type="http://schemas.openxmlformats.org/officeDocument/2006/relationships/hyperlink" Target="http://www.ch-lachartreuse-dijon-cotedor.fr/" TargetMode="External"/><Relationship Id="rId9" Type="http://schemas.openxmlformats.org/officeDocument/2006/relationships/hyperlink" Target="mailto:contact@ch-sens.fr"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mailto:jura.addictologie@chsjura.fr" TargetMode="External"/><Relationship Id="rId3" Type="http://schemas.openxmlformats.org/officeDocument/2006/relationships/hyperlink" Target="http://www.ch-lachartreuse-dijon-cotedor.fr/" TargetMode="External"/><Relationship Id="rId7" Type="http://schemas.openxmlformats.org/officeDocument/2006/relationships/hyperlink" Target="mailto:direction@ch-beaune.fr" TargetMode="External"/><Relationship Id="rId12" Type="http://schemas.openxmlformats.org/officeDocument/2006/relationships/table" Target="../tables/table12.xml"/><Relationship Id="rId2" Type="http://schemas.openxmlformats.org/officeDocument/2006/relationships/hyperlink" Target="http://www.chsjura.fr/" TargetMode="External"/><Relationship Id="rId1" Type="http://schemas.openxmlformats.org/officeDocument/2006/relationships/hyperlink" Target="https://hopitaux-jura.fr/" TargetMode="External"/><Relationship Id="rId6" Type="http://schemas.openxmlformats.org/officeDocument/2006/relationships/hyperlink" Target="mailto:direction.generale@hopitaux-jura.fr" TargetMode="External"/><Relationship Id="rId11" Type="http://schemas.openxmlformats.org/officeDocument/2006/relationships/printerSettings" Target="../printerSettings/printerSettings13.bin"/><Relationship Id="rId5" Type="http://schemas.openxmlformats.org/officeDocument/2006/relationships/hyperlink" Target="mailto:contact@gh70.fr" TargetMode="External"/><Relationship Id="rId10" Type="http://schemas.openxmlformats.org/officeDocument/2006/relationships/hyperlink" Target="mailto:contact@ch-montceau71.fr" TargetMode="External"/><Relationship Id="rId4" Type="http://schemas.openxmlformats.org/officeDocument/2006/relationships/hyperlink" Target="http://www.chs-yonne.fr/" TargetMode="External"/><Relationship Id="rId9" Type="http://schemas.openxmlformats.org/officeDocument/2006/relationships/hyperlink" Target="mailto:chs@ch-sevrey.fr"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contact@ch-sens.fr" TargetMode="External"/><Relationship Id="rId3" Type="http://schemas.openxmlformats.org/officeDocument/2006/relationships/hyperlink" Target="http://www.chsjura.fr/" TargetMode="External"/><Relationship Id="rId7" Type="http://schemas.openxmlformats.org/officeDocument/2006/relationships/hyperlink" Target="mailto:direction@ch-beaune.fr" TargetMode="External"/><Relationship Id="rId12" Type="http://schemas.openxmlformats.org/officeDocument/2006/relationships/table" Target="../tables/table13.xml"/><Relationship Id="rId2" Type="http://schemas.openxmlformats.org/officeDocument/2006/relationships/hyperlink" Target="https://hopitaux-jura.fr/" TargetMode="External"/><Relationship Id="rId1" Type="http://schemas.openxmlformats.org/officeDocument/2006/relationships/hyperlink" Target="mailto:ual@ch-decize.fr" TargetMode="External"/><Relationship Id="rId6" Type="http://schemas.openxmlformats.org/officeDocument/2006/relationships/hyperlink" Target="mailto:direction.generale@hopitaux-jura.fr" TargetMode="External"/><Relationship Id="rId11" Type="http://schemas.openxmlformats.org/officeDocument/2006/relationships/printerSettings" Target="../printerSettings/printerSettings14.bin"/><Relationship Id="rId5" Type="http://schemas.openxmlformats.org/officeDocument/2006/relationships/hyperlink" Target="mailto:contact@gh70.fr" TargetMode="External"/><Relationship Id="rId10" Type="http://schemas.openxmlformats.org/officeDocument/2006/relationships/hyperlink" Target="mailto:ghforest@hoteldieu-creusot.fr" TargetMode="External"/><Relationship Id="rId4" Type="http://schemas.openxmlformats.org/officeDocument/2006/relationships/hyperlink" Target="http://www.chs-yonne.fr/" TargetMode="External"/><Relationship Id="rId9" Type="http://schemas.openxmlformats.org/officeDocument/2006/relationships/hyperlink" Target="mailto:chs@ch-sevrey.fr"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contact@gh70.fr" TargetMode="External"/><Relationship Id="rId2" Type="http://schemas.openxmlformats.org/officeDocument/2006/relationships/hyperlink" Target="http://www.chs-yonne.fr/" TargetMode="External"/><Relationship Id="rId1" Type="http://schemas.openxmlformats.org/officeDocument/2006/relationships/hyperlink" Target="http://www.ch-semur.fr/" TargetMode="External"/><Relationship Id="rId5" Type="http://schemas.openxmlformats.org/officeDocument/2006/relationships/table" Target="../tables/table14.xm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mailto:direction.generale@hopitaux-jura.fr" TargetMode="External"/><Relationship Id="rId1" Type="http://schemas.openxmlformats.org/officeDocument/2006/relationships/hyperlink" Target="https://hopitaux-jura.fr/" TargetMode="External"/><Relationship Id="rId4"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mailto:contact@ch-sens.fr" TargetMode="External"/><Relationship Id="rId3" Type="http://schemas.openxmlformats.org/officeDocument/2006/relationships/hyperlink" Target="mailto:secretariat.psychiatrie@ch-semur.fr" TargetMode="External"/><Relationship Id="rId7" Type="http://schemas.openxmlformats.org/officeDocument/2006/relationships/hyperlink" Target="mailto:chs@ch-sevrey.fr" TargetMode="External"/><Relationship Id="rId2" Type="http://schemas.openxmlformats.org/officeDocument/2006/relationships/hyperlink" Target="https://www.gh70.fr/" TargetMode="External"/><Relationship Id="rId1" Type="http://schemas.openxmlformats.org/officeDocument/2006/relationships/hyperlink" Target="mailto:contact@ch-sens.fr" TargetMode="External"/><Relationship Id="rId6" Type="http://schemas.openxmlformats.org/officeDocument/2006/relationships/hyperlink" Target="mailto:contact@ch-sens.fr" TargetMode="External"/><Relationship Id="rId11" Type="http://schemas.openxmlformats.org/officeDocument/2006/relationships/table" Target="../tables/table17.xml"/><Relationship Id="rId5" Type="http://schemas.openxmlformats.org/officeDocument/2006/relationships/hyperlink" Target="mailto:chs@ch-sevrey.fr" TargetMode="External"/><Relationship Id="rId10" Type="http://schemas.openxmlformats.org/officeDocument/2006/relationships/drawing" Target="../drawings/drawing12.xml"/><Relationship Id="rId4" Type="http://schemas.openxmlformats.org/officeDocument/2006/relationships/hyperlink" Target="http://www.ch-semur.fr/" TargetMode="External"/><Relationship Id="rId9"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csapa.dijon@addictions-france.org" TargetMode="External"/><Relationship Id="rId21" Type="http://schemas.openxmlformats.org/officeDocument/2006/relationships/hyperlink" Target="mailto:ghforest@hoteldieu-creusot.fr" TargetMode="External"/><Relationship Id="rId42" Type="http://schemas.openxmlformats.org/officeDocument/2006/relationships/hyperlink" Target="http://www.ahs-fc.fr/" TargetMode="External"/><Relationship Id="rId47" Type="http://schemas.openxmlformats.org/officeDocument/2006/relationships/hyperlink" Target="http://www.ahs-fc.fr/" TargetMode="External"/><Relationship Id="rId63" Type="http://schemas.openxmlformats.org/officeDocument/2006/relationships/hyperlink" Target="mailto:csapa.dijon@addictions-france.org" TargetMode="External"/><Relationship Id="rId68" Type="http://schemas.openxmlformats.org/officeDocument/2006/relationships/hyperlink" Target="mailto:csapa.belfort@addictions-france.org" TargetMode="External"/><Relationship Id="rId84" Type="http://schemas.openxmlformats.org/officeDocument/2006/relationships/hyperlink" Target="mailto:pole-addictologie.nfc@afs-fc.fr" TargetMode="External"/><Relationship Id="rId89" Type="http://schemas.openxmlformats.org/officeDocument/2006/relationships/hyperlink" Target="https://urldefense.com/v3/__http:/www.addictions-france.org__;!!E1R1dd1bLLODlQ4!Es8mFRAweC5ypRnrRmgKy5fS9hbkpnAdaJ9a5Nfgxl0ZYuVBi4Jzja_3lgWvifw-RfuN-RscJJWgbQPTtIwlRbvG_ESrAQEY_yxj$" TargetMode="External"/><Relationship Id="rId112" Type="http://schemas.openxmlformats.org/officeDocument/2006/relationships/hyperlink" Target="mailto:csapa.dijon@addictions-france.org" TargetMode="External"/><Relationship Id="rId16" Type="http://schemas.openxmlformats.org/officeDocument/2006/relationships/hyperlink" Target="mailto:secretaire.cpp@hopital-cosne.fr" TargetMode="External"/><Relationship Id="rId107" Type="http://schemas.openxmlformats.org/officeDocument/2006/relationships/hyperlink" Target="mailto:contact@adlca.fr" TargetMode="External"/><Relationship Id="rId11" Type="http://schemas.openxmlformats.org/officeDocument/2006/relationships/hyperlink" Target="mailto:contactp39@oppelia.fr" TargetMode="External"/><Relationship Id="rId32" Type="http://schemas.openxmlformats.org/officeDocument/2006/relationships/hyperlink" Target="http://www.ch-lachartreuse-dijon-cotedor.fr/" TargetMode="External"/><Relationship Id="rId37" Type="http://schemas.openxmlformats.org/officeDocument/2006/relationships/hyperlink" Target="http://www.chs-yonne.fr/" TargetMode="External"/><Relationship Id="rId53" Type="http://schemas.openxmlformats.org/officeDocument/2006/relationships/hyperlink" Target="mailto:csapa.vesoul@addictions-france.org" TargetMode="External"/><Relationship Id="rId58" Type="http://schemas.openxmlformats.org/officeDocument/2006/relationships/hyperlink" Target="https://www.ch-lachartreuse-dijon-cotedor.fr/" TargetMode="External"/><Relationship Id="rId74" Type="http://schemas.openxmlformats.org/officeDocument/2006/relationships/hyperlink" Target="http://www.addsea.fr/" TargetMode="External"/><Relationship Id="rId79" Type="http://schemas.openxmlformats.org/officeDocument/2006/relationships/hyperlink" Target="mailto:contactp39@oppelia.fr" TargetMode="External"/><Relationship Id="rId102" Type="http://schemas.openxmlformats.org/officeDocument/2006/relationships/hyperlink" Target="mailto:lons@adlca.fr" TargetMode="External"/><Relationship Id="rId123" Type="http://schemas.openxmlformats.org/officeDocument/2006/relationships/hyperlink" Target="mailto:csapa.macon@addictions-France.org" TargetMode="External"/><Relationship Id="rId128" Type="http://schemas.openxmlformats.org/officeDocument/2006/relationships/vmlDrawing" Target="../drawings/vmlDrawing1.vml"/><Relationship Id="rId5" Type="http://schemas.openxmlformats.org/officeDocument/2006/relationships/hyperlink" Target="https://www.gh70.fr/" TargetMode="External"/><Relationship Id="rId90" Type="http://schemas.openxmlformats.org/officeDocument/2006/relationships/hyperlink" Target="mailto:csapa.dijon@addictions-france.org" TargetMode="External"/><Relationship Id="rId95" Type="http://schemas.openxmlformats.org/officeDocument/2006/relationships/hyperlink" Target="mailto:ema.doubs@gmail.com" TargetMode="External"/><Relationship Id="rId22" Type="http://schemas.openxmlformats.org/officeDocument/2006/relationships/hyperlink" Target="mailto:iris2.docs@epsm71.fr" TargetMode="External"/><Relationship Id="rId27" Type="http://schemas.openxmlformats.org/officeDocument/2006/relationships/hyperlink" Target="http://www.chs-yonne.fr/" TargetMode="External"/><Relationship Id="rId43" Type="http://schemas.openxmlformats.org/officeDocument/2006/relationships/hyperlink" Target="http://www.ahs-fc.fr/" TargetMode="External"/><Relationship Id="rId48" Type="http://schemas.openxmlformats.org/officeDocument/2006/relationships/hyperlink" Target="http://www.ahs-fc.fr/" TargetMode="External"/><Relationship Id="rId64" Type="http://schemas.openxmlformats.org/officeDocument/2006/relationships/hyperlink" Target="mailto:csapa.beaune@addictions-France.org" TargetMode="External"/><Relationship Id="rId69" Type="http://schemas.openxmlformats.org/officeDocument/2006/relationships/hyperlink" Target="mailto:contactp39@oppelia.fr" TargetMode="External"/><Relationship Id="rId113" Type="http://schemas.openxmlformats.org/officeDocument/2006/relationships/hyperlink" Target="mailto:csapa.dijon@addictions-france.org" TargetMode="External"/><Relationship Id="rId118" Type="http://schemas.openxmlformats.org/officeDocument/2006/relationships/hyperlink" Target="mailto:csapa.dijon@addictions-france.org" TargetMode="External"/><Relationship Id="rId80" Type="http://schemas.openxmlformats.org/officeDocument/2006/relationships/hyperlink" Target="https://www.oppelia.fr/etablissement/passerelle-39-orgelet/" TargetMode="External"/><Relationship Id="rId85" Type="http://schemas.openxmlformats.org/officeDocument/2006/relationships/hyperlink" Target="mailto:tabacologie@ch-macon.fr" TargetMode="External"/><Relationship Id="rId12" Type="http://schemas.openxmlformats.org/officeDocument/2006/relationships/hyperlink" Target="mailto:csapa.gray@addictions-france.org" TargetMode="External"/><Relationship Id="rId17" Type="http://schemas.openxmlformats.org/officeDocument/2006/relationships/hyperlink" Target="http://ch-autun.fr/contact/@ch-autun.fr" TargetMode="External"/><Relationship Id="rId33" Type="http://schemas.openxmlformats.org/officeDocument/2006/relationships/hyperlink" Target="mailto:contact@ch-montceau71.fr" TargetMode="External"/><Relationship Id="rId38" Type="http://schemas.openxmlformats.org/officeDocument/2006/relationships/hyperlink" Target="http://www.ch-lachartreuse-dijon-cotedor.fr/" TargetMode="External"/><Relationship Id="rId59" Type="http://schemas.openxmlformats.org/officeDocument/2006/relationships/hyperlink" Target="mailto:csapa.dijon@addictions-france.org" TargetMode="External"/><Relationship Id="rId103" Type="http://schemas.openxmlformats.org/officeDocument/2006/relationships/hyperlink" Target="mailto:lons@adlca.fr" TargetMode="External"/><Relationship Id="rId108" Type="http://schemas.openxmlformats.org/officeDocument/2006/relationships/hyperlink" Target="mailto:bfc58@addictions-france.org" TargetMode="External"/><Relationship Id="rId124" Type="http://schemas.openxmlformats.org/officeDocument/2006/relationships/hyperlink" Target="mailto:Secretariat-Consultation@cgfl.fr" TargetMode="External"/><Relationship Id="rId129" Type="http://schemas.openxmlformats.org/officeDocument/2006/relationships/table" Target="../tables/table1.xml"/><Relationship Id="rId54" Type="http://schemas.openxmlformats.org/officeDocument/2006/relationships/hyperlink" Target="https://addictions-france.org/" TargetMode="External"/><Relationship Id="rId70" Type="http://schemas.openxmlformats.org/officeDocument/2006/relationships/hyperlink" Target="mailto:addictologie-secret@chu-besancon.fr" TargetMode="External"/><Relationship Id="rId75" Type="http://schemas.openxmlformats.org/officeDocument/2006/relationships/hyperlink" Target="mailto:santoline@addictions-sedap.fr" TargetMode="External"/><Relationship Id="rId91" Type="http://schemas.openxmlformats.org/officeDocument/2006/relationships/hyperlink" Target="https://urldefense.com/v3/__http:/www.addictions-france.org__;!!E1R1dd1bLLODlQ4!Es8mFRAweC5ypRnrRmgKy5fS9hbkpnAdaJ9a5Nfgxl0ZYuVBi4Jzja_3lgWvifw-RfuN-RscJJWgbQPTtIwlRbvG_ESrAQEY_yxj$" TargetMode="External"/><Relationship Id="rId96" Type="http://schemas.openxmlformats.org/officeDocument/2006/relationships/hyperlink" Target="mailto:hdjaddicto-secret@chu-besancon.fr" TargetMode="External"/><Relationship Id="rId1" Type="http://schemas.openxmlformats.org/officeDocument/2006/relationships/hyperlink" Target="http://ch-autun.fr/contact/@ch-autun.fr" TargetMode="External"/><Relationship Id="rId6" Type="http://schemas.openxmlformats.org/officeDocument/2006/relationships/hyperlink" Target="http://www.hopital-lecreusot.com/" TargetMode="External"/><Relationship Id="rId23" Type="http://schemas.openxmlformats.org/officeDocument/2006/relationships/hyperlink" Target="mailto:contact@ch-sens.fr" TargetMode="External"/><Relationship Id="rId28" Type="http://schemas.openxmlformats.org/officeDocument/2006/relationships/hyperlink" Target="http://www.chsjura.fr/" TargetMode="External"/><Relationship Id="rId49" Type="http://schemas.openxmlformats.org/officeDocument/2006/relationships/hyperlink" Target="http://www.ahs-fc.fr/" TargetMode="External"/><Relationship Id="rId114" Type="http://schemas.openxmlformats.org/officeDocument/2006/relationships/hyperlink" Target="mailto:csapa.dijon@addictions-france.org" TargetMode="External"/><Relationship Id="rId119" Type="http://schemas.openxmlformats.org/officeDocument/2006/relationships/hyperlink" Target="mailto:csapa.dijon@addictions-france.org" TargetMode="External"/><Relationship Id="rId44" Type="http://schemas.openxmlformats.org/officeDocument/2006/relationships/hyperlink" Target="http://www.ahs-fc.fr/" TargetMode="External"/><Relationship Id="rId60" Type="http://schemas.openxmlformats.org/officeDocument/2006/relationships/hyperlink" Target="mailto:csapa.dijon@addictions-france.org" TargetMode="External"/><Relationship Id="rId65" Type="http://schemas.openxmlformats.org/officeDocument/2006/relationships/hyperlink" Target="http://www.addictions-france.org/" TargetMode="External"/><Relationship Id="rId81" Type="http://schemas.openxmlformats.org/officeDocument/2006/relationships/hyperlink" Target="https://www.oppelia.fr/structure/passerelle-39/" TargetMode="External"/><Relationship Id="rId86" Type="http://schemas.openxmlformats.org/officeDocument/2006/relationships/hyperlink" Target="https://www.ch-macon.fr/patients-usagers/services/tabacologie/" TargetMode="External"/><Relationship Id="rId130" Type="http://schemas.openxmlformats.org/officeDocument/2006/relationships/comments" Target="../comments1.xml"/><Relationship Id="rId13" Type="http://schemas.openxmlformats.org/officeDocument/2006/relationships/hyperlink" Target="mailto:BFC58@Addictions-france.org" TargetMode="External"/><Relationship Id="rId18" Type="http://schemas.openxmlformats.org/officeDocument/2006/relationships/hyperlink" Target="http://ch-autun.fr/contact/Macon%20:" TargetMode="External"/><Relationship Id="rId39" Type="http://schemas.openxmlformats.org/officeDocument/2006/relationships/hyperlink" Target="http://www.ahbfc.fr/" TargetMode="External"/><Relationship Id="rId109" Type="http://schemas.openxmlformats.org/officeDocument/2006/relationships/hyperlink" Target="http://www.addictions-france.org/" TargetMode="External"/><Relationship Id="rId34" Type="http://schemas.openxmlformats.org/officeDocument/2006/relationships/hyperlink" Target="mailto:contact@ch-sens.fr" TargetMode="External"/><Relationship Id="rId50" Type="http://schemas.openxmlformats.org/officeDocument/2006/relationships/hyperlink" Target="http://www.ahs-fc.fr/" TargetMode="External"/><Relationship Id="rId55" Type="http://schemas.openxmlformats.org/officeDocument/2006/relationships/hyperlink" Target="mailto:csapa.vesoul@addictions-france.org" TargetMode="External"/><Relationship Id="rId76" Type="http://schemas.openxmlformats.org/officeDocument/2006/relationships/hyperlink" Target="https://www.oppelia.fr/etablissement/passerelle-39-lons-le-saunier/" TargetMode="External"/><Relationship Id="rId97" Type="http://schemas.openxmlformats.org/officeDocument/2006/relationships/hyperlink" Target="mailto:csapa.macon@addictions-France.org" TargetMode="External"/><Relationship Id="rId104" Type="http://schemas.openxmlformats.org/officeDocument/2006/relationships/hyperlink" Target="mailto:arbois@adlca.fr" TargetMode="External"/><Relationship Id="rId120" Type="http://schemas.openxmlformats.org/officeDocument/2006/relationships/hyperlink" Target="mailto:csapa.dijon@addictions-france.org" TargetMode="External"/><Relationship Id="rId125" Type="http://schemas.openxmlformats.org/officeDocument/2006/relationships/hyperlink" Target="https://www.cgfl.fr/?s=tabacologie" TargetMode="External"/><Relationship Id="rId7" Type="http://schemas.openxmlformats.org/officeDocument/2006/relationships/hyperlink" Target="https://www.chu-dijon.fr/" TargetMode="External"/><Relationship Id="rId71" Type="http://schemas.openxmlformats.org/officeDocument/2006/relationships/hyperlink" Target="mailto:addictologie-secret@chu-besancon.fr" TargetMode="External"/><Relationship Id="rId92" Type="http://schemas.openxmlformats.org/officeDocument/2006/relationships/hyperlink" Target="mailto:csapa.paraylemonial@addictions-France.org" TargetMode="External"/><Relationship Id="rId2" Type="http://schemas.openxmlformats.org/officeDocument/2006/relationships/hyperlink" Target="mailto:secretaddicto@ch-sens.fr" TargetMode="External"/><Relationship Id="rId29" Type="http://schemas.openxmlformats.org/officeDocument/2006/relationships/hyperlink" Target="https://hopitaux-jura.fr/" TargetMode="External"/><Relationship Id="rId24" Type="http://schemas.openxmlformats.org/officeDocument/2006/relationships/hyperlink" Target="mailto:direction@ch-beaune.fr" TargetMode="External"/><Relationship Id="rId40" Type="http://schemas.openxmlformats.org/officeDocument/2006/relationships/hyperlink" Target="http://www.ahbfc.fr/" TargetMode="External"/><Relationship Id="rId45" Type="http://schemas.openxmlformats.org/officeDocument/2006/relationships/hyperlink" Target="http://www.ahs-fc.fr/" TargetMode="External"/><Relationship Id="rId66" Type="http://schemas.openxmlformats.org/officeDocument/2006/relationships/hyperlink" Target="https://keryonnec.com/" TargetMode="External"/><Relationship Id="rId87" Type="http://schemas.openxmlformats.org/officeDocument/2006/relationships/hyperlink" Target="https://www.ch-macon.fr/patients-usagers/services/tabacologie/" TargetMode="External"/><Relationship Id="rId110" Type="http://schemas.openxmlformats.org/officeDocument/2006/relationships/hyperlink" Target="mailto:csapa.dijon@addictions-france.org" TargetMode="External"/><Relationship Id="rId115" Type="http://schemas.openxmlformats.org/officeDocument/2006/relationships/hyperlink" Target="mailto:csapa.dijon@addictions-france.org" TargetMode="External"/><Relationship Id="rId131" Type="http://schemas.microsoft.com/office/2017/10/relationships/threadedComment" Target="../threadedComments/threadedComment1.xml"/><Relationship Id="rId61" Type="http://schemas.openxmlformats.org/officeDocument/2006/relationships/hyperlink" Target="mailto:csapa.dijon@addictions-france.org" TargetMode="External"/><Relationship Id="rId82" Type="http://schemas.openxmlformats.org/officeDocument/2006/relationships/hyperlink" Target="mailto:pole-addictologie.nfc@afs-fc.fr" TargetMode="External"/><Relationship Id="rId19" Type="http://schemas.openxmlformats.org/officeDocument/2006/relationships/hyperlink" Target="mailto:contact@gh70.fr" TargetMode="External"/><Relationship Id="rId14" Type="http://schemas.openxmlformats.org/officeDocument/2006/relationships/hyperlink" Target="mailto:BFC58@Addictions-france.org" TargetMode="External"/><Relationship Id="rId30" Type="http://schemas.openxmlformats.org/officeDocument/2006/relationships/hyperlink" Target="mailto:contact@gh70.fr" TargetMode="External"/><Relationship Id="rId35" Type="http://schemas.openxmlformats.org/officeDocument/2006/relationships/hyperlink" Target="mailto:communication@ch-dole.fr" TargetMode="External"/><Relationship Id="rId56" Type="http://schemas.openxmlformats.org/officeDocument/2006/relationships/hyperlink" Target="mailto:csapa.vesoul@addictions-france.org" TargetMode="External"/><Relationship Id="rId77" Type="http://schemas.openxmlformats.org/officeDocument/2006/relationships/hyperlink" Target="https://www.oppelia.fr/etablissement/passerelle-39-lons-le-saunier/" TargetMode="External"/><Relationship Id="rId100" Type="http://schemas.openxmlformats.org/officeDocument/2006/relationships/hyperlink" Target="https://www.epsm71.fr/" TargetMode="External"/><Relationship Id="rId105" Type="http://schemas.openxmlformats.org/officeDocument/2006/relationships/hyperlink" Target="mailto:arbois@adlca.fr" TargetMode="External"/><Relationship Id="rId126" Type="http://schemas.openxmlformats.org/officeDocument/2006/relationships/printerSettings" Target="../printerSettings/printerSettings2.bin"/><Relationship Id="rId8" Type="http://schemas.openxmlformats.org/officeDocument/2006/relationships/hyperlink" Target="https://www.ght-unyon.fr/" TargetMode="External"/><Relationship Id="rId51" Type="http://schemas.openxmlformats.org/officeDocument/2006/relationships/hyperlink" Target="http://www.ahs-fc.fr/" TargetMode="External"/><Relationship Id="rId72" Type="http://schemas.openxmlformats.org/officeDocument/2006/relationships/hyperlink" Target="mailto:contactp39@oppelia.fr" TargetMode="External"/><Relationship Id="rId93" Type="http://schemas.openxmlformats.org/officeDocument/2006/relationships/hyperlink" Target="mailto:elsa@ch-novillars.fr" TargetMode="External"/><Relationship Id="rId98" Type="http://schemas.openxmlformats.org/officeDocument/2006/relationships/hyperlink" Target="https://www.oppelia.fr/etablissement/passerelle-39-lons-le-saunier/" TargetMode="External"/><Relationship Id="rId121" Type="http://schemas.openxmlformats.org/officeDocument/2006/relationships/hyperlink" Target="mailto:crap.medecine.secr@hnfc.fr" TargetMode="External"/><Relationship Id="rId3" Type="http://schemas.openxmlformats.org/officeDocument/2006/relationships/hyperlink" Target="http://www.chs-yonne.fr/" TargetMode="External"/><Relationship Id="rId25" Type="http://schemas.openxmlformats.org/officeDocument/2006/relationships/hyperlink" Target="mailto:direction.generale@hopitaux-jura.fr" TargetMode="External"/><Relationship Id="rId46" Type="http://schemas.openxmlformats.org/officeDocument/2006/relationships/hyperlink" Target="http://www.ahs-fc.fr/" TargetMode="External"/><Relationship Id="rId67" Type="http://schemas.openxmlformats.org/officeDocument/2006/relationships/hyperlink" Target="https://keryonnec.com/" TargetMode="External"/><Relationship Id="rId116" Type="http://schemas.openxmlformats.org/officeDocument/2006/relationships/hyperlink" Target="mailto:csapa.dijon@addictions-france.org" TargetMode="External"/><Relationship Id="rId20" Type="http://schemas.openxmlformats.org/officeDocument/2006/relationships/hyperlink" Target="http://www.chs-yonne.fr/" TargetMode="External"/><Relationship Id="rId41" Type="http://schemas.openxmlformats.org/officeDocument/2006/relationships/hyperlink" Target="http://www.ahbfc.fr/" TargetMode="External"/><Relationship Id="rId62" Type="http://schemas.openxmlformats.org/officeDocument/2006/relationships/hyperlink" Target="mailto:csapa.dijon@addictions-france.org" TargetMode="External"/><Relationship Id="rId83" Type="http://schemas.openxmlformats.org/officeDocument/2006/relationships/hyperlink" Target="mailto:pole-addictologie.nfc@afs-fc.fr" TargetMode="External"/><Relationship Id="rId88" Type="http://schemas.openxmlformats.org/officeDocument/2006/relationships/hyperlink" Target="mailto:csapa.dijon@addictions-france.org" TargetMode="External"/><Relationship Id="rId111" Type="http://schemas.openxmlformats.org/officeDocument/2006/relationships/hyperlink" Target="mailto:csapa.dijon@addictions-france.org" TargetMode="External"/><Relationship Id="rId15" Type="http://schemas.openxmlformats.org/officeDocument/2006/relationships/hyperlink" Target="mailto:luref.lorenzi@chi70.fr" TargetMode="External"/><Relationship Id="rId36" Type="http://schemas.openxmlformats.org/officeDocument/2006/relationships/hyperlink" Target="mailto:contact@gh70.fr" TargetMode="External"/><Relationship Id="rId57" Type="http://schemas.openxmlformats.org/officeDocument/2006/relationships/hyperlink" Target="mailto:chde.ual@ght58.fr" TargetMode="External"/><Relationship Id="rId106" Type="http://schemas.openxmlformats.org/officeDocument/2006/relationships/hyperlink" Target="https://csapa-adlca.fr/" TargetMode="External"/><Relationship Id="rId127" Type="http://schemas.openxmlformats.org/officeDocument/2006/relationships/drawing" Target="../drawings/drawing2.xml"/><Relationship Id="rId10" Type="http://schemas.openxmlformats.org/officeDocument/2006/relationships/hyperlink" Target="https://www.oppelia.fr/etablissement/passerelle-39-saint-claude/" TargetMode="External"/><Relationship Id="rId31" Type="http://schemas.openxmlformats.org/officeDocument/2006/relationships/hyperlink" Target="http://www.chs-yonne.fr/" TargetMode="External"/><Relationship Id="rId52" Type="http://schemas.openxmlformats.org/officeDocument/2006/relationships/hyperlink" Target="http://www.chsjura.fr/" TargetMode="External"/><Relationship Id="rId73" Type="http://schemas.openxmlformats.org/officeDocument/2006/relationships/hyperlink" Target="mailto:solea@addsea.fr" TargetMode="External"/><Relationship Id="rId78" Type="http://schemas.openxmlformats.org/officeDocument/2006/relationships/hyperlink" Target="mailto:contactp39@oppelia.fr" TargetMode="External"/><Relationship Id="rId94" Type="http://schemas.openxmlformats.org/officeDocument/2006/relationships/hyperlink" Target="mailto:cmp.julesverne@ch-novillars.fr" TargetMode="External"/><Relationship Id="rId99" Type="http://schemas.openxmlformats.org/officeDocument/2006/relationships/hyperlink" Target="mailto:pamenecier@ch-macon.fr" TargetMode="External"/><Relationship Id="rId101" Type="http://schemas.openxmlformats.org/officeDocument/2006/relationships/hyperlink" Target="mailto:addictologie-secret@chu-besancon.fr" TargetMode="External"/><Relationship Id="rId122" Type="http://schemas.openxmlformats.org/officeDocument/2006/relationships/hyperlink" Target="mailto:crap.medecine.secr@hnfc.fr" TargetMode="External"/><Relationship Id="rId4" Type="http://schemas.openxmlformats.org/officeDocument/2006/relationships/hyperlink" Target="https://hopitaux-jura.fr/" TargetMode="External"/><Relationship Id="rId9" Type="http://schemas.openxmlformats.org/officeDocument/2006/relationships/hyperlink" Target="http://hospices-de-beaune.com/" TargetMode="External"/><Relationship Id="rId26" Type="http://schemas.openxmlformats.org/officeDocument/2006/relationships/hyperlink" Target="mailto:contact@gh70.fr"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C2:T221"/>
  <sheetViews>
    <sheetView topLeftCell="T26" workbookViewId="0">
      <selection activeCell="T26" sqref="T26"/>
    </sheetView>
  </sheetViews>
  <sheetFormatPr baseColWidth="10" defaultColWidth="10.54296875" defaultRowHeight="14.5"/>
  <cols>
    <col min="1" max="16384" width="10.54296875" style="1"/>
  </cols>
  <sheetData>
    <row r="2" spans="3:20" ht="38.15" customHeight="1">
      <c r="C2" s="611" t="s">
        <v>0</v>
      </c>
      <c r="D2" s="612"/>
      <c r="E2" s="612"/>
      <c r="F2" s="612"/>
      <c r="G2" s="612"/>
      <c r="H2" s="612"/>
      <c r="I2" s="612"/>
      <c r="J2" s="612"/>
      <c r="K2" s="612"/>
      <c r="L2" s="612"/>
      <c r="M2" s="612"/>
      <c r="N2" s="612"/>
      <c r="O2" s="612"/>
      <c r="P2" s="612"/>
      <c r="Q2" s="612"/>
      <c r="R2" s="612"/>
      <c r="S2" s="613"/>
    </row>
    <row r="3" spans="3:20">
      <c r="C3" s="2"/>
      <c r="S3" s="3"/>
    </row>
    <row r="4" spans="3:20" ht="26.25" customHeight="1">
      <c r="C4" s="2"/>
      <c r="E4" s="614" t="s">
        <v>1</v>
      </c>
      <c r="F4" s="615"/>
      <c r="G4" s="615"/>
      <c r="H4" s="615"/>
      <c r="I4" s="615"/>
      <c r="J4" s="615"/>
      <c r="K4" s="615"/>
      <c r="L4" s="615"/>
      <c r="M4" s="615"/>
      <c r="N4" s="615"/>
      <c r="O4" s="615"/>
      <c r="P4" s="615"/>
      <c r="Q4" s="616"/>
      <c r="S4" s="3"/>
    </row>
    <row r="5" spans="3:20" ht="18.75" customHeight="1">
      <c r="C5" s="2"/>
      <c r="E5" s="602" t="s">
        <v>2</v>
      </c>
      <c r="F5" s="603"/>
      <c r="G5" s="603"/>
      <c r="H5" s="603"/>
      <c r="I5" s="603"/>
      <c r="J5" s="603"/>
      <c r="K5" s="603"/>
      <c r="L5" s="603"/>
      <c r="M5" s="603"/>
      <c r="N5" s="603"/>
      <c r="O5" s="603"/>
      <c r="P5" s="603"/>
      <c r="Q5" s="604"/>
      <c r="S5" s="3"/>
    </row>
    <row r="6" spans="3:20" ht="18.75" customHeight="1">
      <c r="C6" s="2"/>
      <c r="E6" s="605"/>
      <c r="F6" s="606"/>
      <c r="G6" s="606"/>
      <c r="H6" s="606"/>
      <c r="I6" s="606"/>
      <c r="J6" s="606"/>
      <c r="K6" s="606"/>
      <c r="L6" s="606"/>
      <c r="M6" s="606"/>
      <c r="N6" s="606"/>
      <c r="O6" s="606"/>
      <c r="P6" s="606"/>
      <c r="Q6" s="607"/>
      <c r="S6" s="3"/>
    </row>
    <row r="7" spans="3:20" ht="18.75" customHeight="1">
      <c r="C7" s="2"/>
      <c r="E7" s="605"/>
      <c r="F7" s="606"/>
      <c r="G7" s="606"/>
      <c r="H7" s="606"/>
      <c r="I7" s="606"/>
      <c r="J7" s="606"/>
      <c r="K7" s="606"/>
      <c r="L7" s="606"/>
      <c r="M7" s="606"/>
      <c r="N7" s="606"/>
      <c r="O7" s="606"/>
      <c r="P7" s="606"/>
      <c r="Q7" s="607"/>
      <c r="S7" s="3"/>
    </row>
    <row r="8" spans="3:20" ht="18.75" customHeight="1">
      <c r="C8" s="2"/>
      <c r="E8" s="605"/>
      <c r="F8" s="606"/>
      <c r="G8" s="606"/>
      <c r="H8" s="606"/>
      <c r="I8" s="606"/>
      <c r="J8" s="606"/>
      <c r="K8" s="606"/>
      <c r="L8" s="606"/>
      <c r="M8" s="606"/>
      <c r="N8" s="606"/>
      <c r="O8" s="606"/>
      <c r="P8" s="606"/>
      <c r="Q8" s="607"/>
      <c r="S8" s="3"/>
      <c r="T8"/>
    </row>
    <row r="9" spans="3:20" ht="18.75" customHeight="1">
      <c r="C9" s="2"/>
      <c r="E9" s="605"/>
      <c r="F9" s="606"/>
      <c r="G9" s="606"/>
      <c r="H9" s="606"/>
      <c r="I9" s="606"/>
      <c r="J9" s="606"/>
      <c r="K9" s="606"/>
      <c r="L9" s="606"/>
      <c r="M9" s="606"/>
      <c r="N9" s="606"/>
      <c r="O9" s="606"/>
      <c r="P9" s="606"/>
      <c r="Q9" s="607"/>
      <c r="S9" s="3"/>
    </row>
    <row r="10" spans="3:20" ht="18.5">
      <c r="C10" s="4"/>
      <c r="E10" s="605"/>
      <c r="F10" s="606"/>
      <c r="G10" s="606"/>
      <c r="H10" s="606"/>
      <c r="I10" s="606"/>
      <c r="J10" s="606"/>
      <c r="K10" s="606"/>
      <c r="L10" s="606"/>
      <c r="M10" s="606"/>
      <c r="N10" s="606"/>
      <c r="O10" s="606"/>
      <c r="P10" s="606"/>
      <c r="Q10" s="607"/>
      <c r="S10" s="3"/>
    </row>
    <row r="11" spans="3:20" ht="14.5" customHeight="1">
      <c r="C11" s="2"/>
      <c r="E11" s="605"/>
      <c r="F11" s="606"/>
      <c r="G11" s="606"/>
      <c r="H11" s="606"/>
      <c r="I11" s="606"/>
      <c r="J11" s="606"/>
      <c r="K11" s="606"/>
      <c r="L11" s="606"/>
      <c r="M11" s="606"/>
      <c r="N11" s="606"/>
      <c r="O11" s="606"/>
      <c r="P11" s="606"/>
      <c r="Q11" s="607"/>
      <c r="S11" s="3"/>
    </row>
    <row r="12" spans="3:20" ht="14.5" customHeight="1">
      <c r="C12" s="2"/>
      <c r="E12" s="605"/>
      <c r="F12" s="606"/>
      <c r="G12" s="606"/>
      <c r="H12" s="606"/>
      <c r="I12" s="606"/>
      <c r="J12" s="606"/>
      <c r="K12" s="606"/>
      <c r="L12" s="606"/>
      <c r="M12" s="606"/>
      <c r="N12" s="606"/>
      <c r="O12" s="606"/>
      <c r="P12" s="606"/>
      <c r="Q12" s="607"/>
      <c r="S12" s="3"/>
    </row>
    <row r="13" spans="3:20" ht="14.5" customHeight="1">
      <c r="C13" s="2"/>
      <c r="E13" s="605"/>
      <c r="F13" s="606"/>
      <c r="G13" s="606"/>
      <c r="H13" s="606"/>
      <c r="I13" s="606"/>
      <c r="J13" s="606"/>
      <c r="K13" s="606"/>
      <c r="L13" s="606"/>
      <c r="M13" s="606"/>
      <c r="N13" s="606"/>
      <c r="O13" s="606"/>
      <c r="P13" s="606"/>
      <c r="Q13" s="607"/>
      <c r="S13" s="3"/>
    </row>
    <row r="14" spans="3:20" ht="14.5" customHeight="1">
      <c r="C14" s="2"/>
      <c r="E14" s="605"/>
      <c r="F14" s="606"/>
      <c r="G14" s="606"/>
      <c r="H14" s="606"/>
      <c r="I14" s="606"/>
      <c r="J14" s="606"/>
      <c r="K14" s="606"/>
      <c r="L14" s="606"/>
      <c r="M14" s="606"/>
      <c r="N14" s="606"/>
      <c r="O14" s="606"/>
      <c r="P14" s="606"/>
      <c r="Q14" s="607"/>
      <c r="S14" s="3"/>
    </row>
    <row r="15" spans="3:20" ht="14.5" customHeight="1">
      <c r="C15" s="2"/>
      <c r="E15" s="605"/>
      <c r="F15" s="606"/>
      <c r="G15" s="606"/>
      <c r="H15" s="606"/>
      <c r="I15" s="606"/>
      <c r="J15" s="606"/>
      <c r="K15" s="606"/>
      <c r="L15" s="606"/>
      <c r="M15" s="606"/>
      <c r="N15" s="606"/>
      <c r="O15" s="606"/>
      <c r="P15" s="606"/>
      <c r="Q15" s="607"/>
      <c r="S15" s="3"/>
    </row>
    <row r="16" spans="3:20" ht="14.5" customHeight="1">
      <c r="C16" s="2"/>
      <c r="E16" s="605"/>
      <c r="F16" s="606"/>
      <c r="G16" s="606"/>
      <c r="H16" s="606"/>
      <c r="I16" s="606"/>
      <c r="J16" s="606"/>
      <c r="K16" s="606"/>
      <c r="L16" s="606"/>
      <c r="M16" s="606"/>
      <c r="N16" s="606"/>
      <c r="O16" s="606"/>
      <c r="P16" s="606"/>
      <c r="Q16" s="607"/>
      <c r="S16" s="3"/>
    </row>
    <row r="17" spans="3:19" ht="14.5" customHeight="1">
      <c r="C17" s="2"/>
      <c r="E17" s="605"/>
      <c r="F17" s="606"/>
      <c r="G17" s="606"/>
      <c r="H17" s="606"/>
      <c r="I17" s="606"/>
      <c r="J17" s="606"/>
      <c r="K17" s="606"/>
      <c r="L17" s="606"/>
      <c r="M17" s="606"/>
      <c r="N17" s="606"/>
      <c r="O17" s="606"/>
      <c r="P17" s="606"/>
      <c r="Q17" s="607"/>
      <c r="S17" s="3"/>
    </row>
    <row r="18" spans="3:19" ht="14.5" customHeight="1">
      <c r="C18" s="2"/>
      <c r="E18" s="605"/>
      <c r="F18" s="606"/>
      <c r="G18" s="606"/>
      <c r="H18" s="606"/>
      <c r="I18" s="606"/>
      <c r="J18" s="606"/>
      <c r="K18" s="606"/>
      <c r="L18" s="606"/>
      <c r="M18" s="606"/>
      <c r="N18" s="606"/>
      <c r="O18" s="606"/>
      <c r="P18" s="606"/>
      <c r="Q18" s="607"/>
      <c r="S18" s="3"/>
    </row>
    <row r="19" spans="3:19">
      <c r="C19" s="2"/>
      <c r="E19" s="605"/>
      <c r="F19" s="606"/>
      <c r="G19" s="606"/>
      <c r="H19" s="606"/>
      <c r="I19" s="606"/>
      <c r="J19" s="606"/>
      <c r="K19" s="606"/>
      <c r="L19" s="606"/>
      <c r="M19" s="606"/>
      <c r="N19" s="606"/>
      <c r="O19" s="606"/>
      <c r="P19" s="606"/>
      <c r="Q19" s="607"/>
      <c r="S19" s="3"/>
    </row>
    <row r="20" spans="3:19">
      <c r="C20" s="5"/>
      <c r="D20" s="6"/>
      <c r="E20" s="605"/>
      <c r="F20" s="606"/>
      <c r="G20" s="606"/>
      <c r="H20" s="606"/>
      <c r="I20" s="606"/>
      <c r="J20" s="606"/>
      <c r="K20" s="606"/>
      <c r="L20" s="606"/>
      <c r="M20" s="606"/>
      <c r="N20" s="606"/>
      <c r="O20" s="606"/>
      <c r="P20" s="606"/>
      <c r="Q20" s="607"/>
      <c r="R20" s="6"/>
      <c r="S20" s="7"/>
    </row>
    <row r="21" spans="3:19">
      <c r="E21" s="605"/>
      <c r="F21" s="606"/>
      <c r="G21" s="606"/>
      <c r="H21" s="606"/>
      <c r="I21" s="606"/>
      <c r="J21" s="606"/>
      <c r="K21" s="606"/>
      <c r="L21" s="606"/>
      <c r="M21" s="606"/>
      <c r="N21" s="606"/>
      <c r="O21" s="606"/>
      <c r="P21" s="606"/>
      <c r="Q21" s="607"/>
    </row>
    <row r="22" spans="3:19">
      <c r="E22" s="605"/>
      <c r="F22" s="606"/>
      <c r="G22" s="606"/>
      <c r="H22" s="606"/>
      <c r="I22" s="606"/>
      <c r="J22" s="606"/>
      <c r="K22" s="606"/>
      <c r="L22" s="606"/>
      <c r="M22" s="606"/>
      <c r="N22" s="606"/>
      <c r="O22" s="606"/>
      <c r="P22" s="606"/>
      <c r="Q22" s="607"/>
    </row>
    <row r="23" spans="3:19">
      <c r="E23" s="605"/>
      <c r="F23" s="606"/>
      <c r="G23" s="606"/>
      <c r="H23" s="606"/>
      <c r="I23" s="606"/>
      <c r="J23" s="606"/>
      <c r="K23" s="606"/>
      <c r="L23" s="606"/>
      <c r="M23" s="606"/>
      <c r="N23" s="606"/>
      <c r="O23" s="606"/>
      <c r="P23" s="606"/>
      <c r="Q23" s="607"/>
    </row>
    <row r="24" spans="3:19">
      <c r="E24" s="605"/>
      <c r="F24" s="606"/>
      <c r="G24" s="606"/>
      <c r="H24" s="606"/>
      <c r="I24" s="606"/>
      <c r="J24" s="606"/>
      <c r="K24" s="606"/>
      <c r="L24" s="606"/>
      <c r="M24" s="606"/>
      <c r="N24" s="606"/>
      <c r="O24" s="606"/>
      <c r="P24" s="606"/>
      <c r="Q24" s="607"/>
    </row>
    <row r="25" spans="3:19">
      <c r="E25" s="608"/>
      <c r="F25" s="609"/>
      <c r="G25" s="609"/>
      <c r="H25" s="609"/>
      <c r="I25" s="609"/>
      <c r="J25" s="609"/>
      <c r="K25" s="609"/>
      <c r="L25" s="609"/>
      <c r="M25" s="609"/>
      <c r="N25" s="609"/>
      <c r="O25" s="609"/>
      <c r="P25" s="609"/>
      <c r="Q25" s="610"/>
    </row>
    <row r="28" spans="3:19">
      <c r="F28" s="105"/>
      <c r="G28" s="106"/>
      <c r="H28" s="106"/>
      <c r="I28" s="106"/>
      <c r="J28" s="106"/>
      <c r="K28" s="106"/>
      <c r="L28" s="106"/>
      <c r="M28" s="106"/>
      <c r="N28" s="113"/>
    </row>
    <row r="29" spans="3:19">
      <c r="F29" s="107"/>
      <c r="G29" s="108" t="s">
        <v>3</v>
      </c>
      <c r="H29" s="109"/>
      <c r="I29" s="73"/>
      <c r="J29" s="109" t="s">
        <v>4</v>
      </c>
      <c r="K29" s="109"/>
      <c r="L29" s="109"/>
      <c r="M29" s="109"/>
      <c r="N29" s="114"/>
    </row>
    <row r="30" spans="3:19">
      <c r="F30" s="107"/>
      <c r="G30" s="109"/>
      <c r="H30" s="109"/>
      <c r="I30" s="74"/>
      <c r="J30" s="109" t="s">
        <v>5</v>
      </c>
      <c r="K30" s="109"/>
      <c r="L30" s="109"/>
      <c r="M30" s="109"/>
      <c r="N30" s="114"/>
    </row>
    <row r="31" spans="3:19">
      <c r="F31" s="107"/>
      <c r="G31" s="109"/>
      <c r="H31" s="109"/>
      <c r="I31" s="75"/>
      <c r="J31" s="109" t="s">
        <v>6</v>
      </c>
      <c r="K31" s="109"/>
      <c r="L31" s="109"/>
      <c r="M31" s="109"/>
      <c r="N31" s="114"/>
    </row>
    <row r="32" spans="3:19">
      <c r="F32" s="107"/>
      <c r="G32" s="109"/>
      <c r="H32" s="109"/>
      <c r="I32" s="76"/>
      <c r="J32" s="109" t="s">
        <v>7</v>
      </c>
      <c r="K32" s="109"/>
      <c r="L32" s="109"/>
      <c r="M32" s="109"/>
      <c r="N32" s="114"/>
    </row>
    <row r="33" spans="6:14">
      <c r="F33" s="107"/>
      <c r="G33" s="109"/>
      <c r="H33" s="109"/>
      <c r="I33" s="77"/>
      <c r="J33" s="109" t="s">
        <v>8</v>
      </c>
      <c r="K33" s="109"/>
      <c r="L33" s="109"/>
      <c r="M33" s="109"/>
      <c r="N33" s="114"/>
    </row>
    <row r="34" spans="6:14">
      <c r="F34" s="107"/>
      <c r="G34" s="109"/>
      <c r="H34" s="109"/>
      <c r="I34" s="78"/>
      <c r="J34" s="109" t="s">
        <v>9</v>
      </c>
      <c r="K34" s="109"/>
      <c r="L34" s="109"/>
      <c r="M34" s="109"/>
      <c r="N34" s="114"/>
    </row>
    <row r="35" spans="6:14">
      <c r="F35" s="107"/>
      <c r="G35" s="110"/>
      <c r="H35" s="110"/>
      <c r="I35" s="79"/>
      <c r="J35" s="109" t="s">
        <v>10</v>
      </c>
      <c r="K35" s="110"/>
      <c r="L35" s="110"/>
      <c r="M35" s="110"/>
      <c r="N35" s="115"/>
    </row>
    <row r="36" spans="6:14">
      <c r="F36" s="107"/>
      <c r="G36" s="110"/>
      <c r="H36" s="110"/>
      <c r="I36" s="80"/>
      <c r="J36" s="109" t="s">
        <v>11</v>
      </c>
      <c r="K36" s="110"/>
      <c r="L36" s="110"/>
      <c r="M36" s="110"/>
      <c r="N36" s="115"/>
    </row>
    <row r="37" spans="6:14">
      <c r="F37" s="107"/>
      <c r="G37" s="110"/>
      <c r="H37" s="110"/>
      <c r="I37" s="81"/>
      <c r="J37" s="109" t="s">
        <v>12</v>
      </c>
      <c r="K37" s="110"/>
      <c r="L37" s="110"/>
      <c r="M37" s="110"/>
      <c r="N37" s="115"/>
    </row>
    <row r="38" spans="6:14">
      <c r="F38" s="107"/>
      <c r="G38" s="110"/>
      <c r="H38" s="110"/>
      <c r="I38" s="82"/>
      <c r="J38" s="109" t="s">
        <v>13</v>
      </c>
      <c r="K38" s="110"/>
      <c r="L38" s="110"/>
      <c r="M38" s="110"/>
      <c r="N38" s="115"/>
    </row>
    <row r="39" spans="6:14">
      <c r="F39" s="111"/>
      <c r="G39" s="112"/>
      <c r="H39" s="112"/>
      <c r="I39" s="112"/>
      <c r="J39" s="112"/>
      <c r="K39" s="112"/>
      <c r="L39" s="112"/>
      <c r="M39" s="112"/>
      <c r="N39" s="116"/>
    </row>
    <row r="101" ht="6" customHeight="1"/>
    <row r="103" ht="21.25" customHeight="1"/>
    <row r="105" ht="14.5" customHeight="1"/>
    <row r="106" ht="14.5" customHeight="1"/>
    <row r="107" ht="14.5" customHeight="1"/>
    <row r="108" ht="14.5" customHeight="1"/>
    <row r="109" ht="14.5" customHeight="1"/>
    <row r="110" ht="14.5" customHeight="1"/>
    <row r="111" ht="14.5" customHeight="1"/>
    <row r="112" ht="14.5" customHeight="1"/>
    <row r="113" ht="14.5" customHeight="1"/>
    <row r="114" ht="14.5" customHeight="1"/>
    <row r="115" ht="14.5" customHeight="1"/>
    <row r="116" ht="14.5" customHeight="1"/>
    <row r="117" ht="14.5" customHeight="1"/>
    <row r="118" ht="14.5" customHeight="1"/>
    <row r="119" ht="14.5" customHeight="1"/>
    <row r="120" ht="14.5" customHeight="1"/>
    <row r="121" ht="14.5" customHeight="1"/>
    <row r="122" ht="14.5" customHeight="1"/>
    <row r="123" ht="14.5" customHeight="1"/>
    <row r="124" ht="14.5" customHeight="1"/>
    <row r="125" ht="14.5" customHeight="1"/>
    <row r="126" ht="14.5" customHeight="1"/>
    <row r="127" ht="14.5" customHeight="1"/>
    <row r="128" ht="14.5" customHeight="1"/>
    <row r="129" ht="14.5" customHeight="1"/>
    <row r="130" ht="14.5" customHeight="1"/>
    <row r="131" ht="14.5" customHeight="1"/>
    <row r="132" ht="14.5" customHeight="1"/>
    <row r="133" ht="14.5" customHeight="1"/>
    <row r="187" spans="4:18">
      <c r="D187" s="10"/>
      <c r="E187" s="11"/>
      <c r="F187" s="11"/>
      <c r="G187" s="11"/>
      <c r="H187" s="11"/>
      <c r="I187" s="11"/>
      <c r="J187" s="11"/>
      <c r="K187" s="11"/>
      <c r="L187" s="11"/>
      <c r="M187" s="11"/>
      <c r="N187" s="11"/>
      <c r="O187" s="11"/>
      <c r="P187" s="11"/>
      <c r="Q187" s="11"/>
      <c r="R187" s="12"/>
    </row>
    <row r="188" spans="4:18">
      <c r="D188" s="13"/>
      <c r="E188" s="14"/>
      <c r="F188" s="14"/>
      <c r="G188" s="14"/>
      <c r="H188" s="14"/>
      <c r="I188" s="14"/>
      <c r="J188" s="14"/>
      <c r="K188" s="14"/>
      <c r="L188" s="14"/>
      <c r="M188" s="14"/>
      <c r="N188" s="14"/>
      <c r="O188" s="14"/>
      <c r="P188" s="14"/>
      <c r="Q188" s="14"/>
      <c r="R188" s="15"/>
    </row>
    <row r="189" spans="4:18" ht="21">
      <c r="D189" s="13"/>
      <c r="E189" s="599" t="s">
        <v>14</v>
      </c>
      <c r="F189" s="600"/>
      <c r="G189" s="600"/>
      <c r="H189" s="600"/>
      <c r="I189" s="600"/>
      <c r="J189" s="600"/>
      <c r="K189" s="600"/>
      <c r="L189" s="600"/>
      <c r="M189" s="600"/>
      <c r="N189" s="600"/>
      <c r="O189" s="600"/>
      <c r="P189" s="600"/>
      <c r="Q189" s="601"/>
      <c r="R189" s="16"/>
    </row>
    <row r="190" spans="4:18" ht="14.5" customHeight="1">
      <c r="D190" s="13"/>
      <c r="E190" s="602"/>
      <c r="F190" s="603"/>
      <c r="G190" s="603"/>
      <c r="H190" s="603"/>
      <c r="I190" s="603"/>
      <c r="J190" s="603"/>
      <c r="K190" s="603"/>
      <c r="L190" s="603"/>
      <c r="M190" s="603"/>
      <c r="N190" s="603"/>
      <c r="O190" s="603"/>
      <c r="P190" s="603"/>
      <c r="Q190" s="604"/>
      <c r="R190" s="16"/>
    </row>
    <row r="191" spans="4:18" ht="14.5" customHeight="1">
      <c r="D191" s="13"/>
      <c r="E191" s="605"/>
      <c r="F191" s="606"/>
      <c r="G191" s="606"/>
      <c r="H191" s="606"/>
      <c r="I191" s="606"/>
      <c r="J191" s="606"/>
      <c r="K191" s="606"/>
      <c r="L191" s="606"/>
      <c r="M191" s="606"/>
      <c r="N191" s="606"/>
      <c r="O191" s="606"/>
      <c r="P191" s="606"/>
      <c r="Q191" s="607"/>
      <c r="R191" s="16"/>
    </row>
    <row r="192" spans="4:18" ht="14.5" customHeight="1">
      <c r="D192" s="13"/>
      <c r="E192" s="605"/>
      <c r="F192" s="606"/>
      <c r="G192" s="606"/>
      <c r="H192" s="606"/>
      <c r="I192" s="606"/>
      <c r="J192" s="606"/>
      <c r="K192" s="606"/>
      <c r="L192" s="606"/>
      <c r="M192" s="606"/>
      <c r="N192" s="606"/>
      <c r="O192" s="606"/>
      <c r="P192" s="606"/>
      <c r="Q192" s="607"/>
      <c r="R192" s="16"/>
    </row>
    <row r="193" spans="4:18" ht="14.5" customHeight="1">
      <c r="D193" s="13"/>
      <c r="E193" s="605"/>
      <c r="F193" s="606"/>
      <c r="G193" s="606"/>
      <c r="H193" s="606"/>
      <c r="I193" s="606"/>
      <c r="J193" s="606"/>
      <c r="K193" s="606"/>
      <c r="L193" s="606"/>
      <c r="M193" s="606"/>
      <c r="N193" s="606"/>
      <c r="O193" s="606"/>
      <c r="P193" s="606"/>
      <c r="Q193" s="607"/>
      <c r="R193" s="16"/>
    </row>
    <row r="194" spans="4:18" ht="14.5" customHeight="1">
      <c r="D194" s="13"/>
      <c r="E194" s="605"/>
      <c r="F194" s="606"/>
      <c r="G194" s="606"/>
      <c r="H194" s="606"/>
      <c r="I194" s="606"/>
      <c r="J194" s="606"/>
      <c r="K194" s="606"/>
      <c r="L194" s="606"/>
      <c r="M194" s="606"/>
      <c r="N194" s="606"/>
      <c r="O194" s="606"/>
      <c r="P194" s="606"/>
      <c r="Q194" s="607"/>
      <c r="R194" s="16"/>
    </row>
    <row r="195" spans="4:18" ht="14.5" customHeight="1">
      <c r="D195" s="13"/>
      <c r="E195" s="605"/>
      <c r="F195" s="606"/>
      <c r="G195" s="606"/>
      <c r="H195" s="606"/>
      <c r="I195" s="606"/>
      <c r="J195" s="606"/>
      <c r="K195" s="606"/>
      <c r="L195" s="606"/>
      <c r="M195" s="606"/>
      <c r="N195" s="606"/>
      <c r="O195" s="606"/>
      <c r="P195" s="606"/>
      <c r="Q195" s="607"/>
      <c r="R195" s="16"/>
    </row>
    <row r="196" spans="4:18" ht="14.5" customHeight="1">
      <c r="D196" s="13"/>
      <c r="E196" s="605"/>
      <c r="F196" s="606"/>
      <c r="G196" s="606"/>
      <c r="H196" s="606"/>
      <c r="I196" s="606"/>
      <c r="J196" s="606"/>
      <c r="K196" s="606"/>
      <c r="L196" s="606"/>
      <c r="M196" s="606"/>
      <c r="N196" s="606"/>
      <c r="O196" s="606"/>
      <c r="P196" s="606"/>
      <c r="Q196" s="607"/>
      <c r="R196" s="16"/>
    </row>
    <row r="197" spans="4:18" ht="14.5" customHeight="1">
      <c r="D197" s="13"/>
      <c r="E197" s="605"/>
      <c r="F197" s="606"/>
      <c r="G197" s="606"/>
      <c r="H197" s="606"/>
      <c r="I197" s="606"/>
      <c r="J197" s="606"/>
      <c r="K197" s="606"/>
      <c r="L197" s="606"/>
      <c r="M197" s="606"/>
      <c r="N197" s="606"/>
      <c r="O197" s="606"/>
      <c r="P197" s="606"/>
      <c r="Q197" s="607"/>
      <c r="R197" s="16"/>
    </row>
    <row r="198" spans="4:18" ht="14.5" customHeight="1">
      <c r="D198" s="13"/>
      <c r="E198" s="605"/>
      <c r="F198" s="606"/>
      <c r="G198" s="606"/>
      <c r="H198" s="606"/>
      <c r="I198" s="606"/>
      <c r="J198" s="606"/>
      <c r="K198" s="606"/>
      <c r="L198" s="606"/>
      <c r="M198" s="606"/>
      <c r="N198" s="606"/>
      <c r="O198" s="606"/>
      <c r="P198" s="606"/>
      <c r="Q198" s="607"/>
      <c r="R198" s="16"/>
    </row>
    <row r="199" spans="4:18" ht="14.5" customHeight="1">
      <c r="D199" s="13"/>
      <c r="E199" s="605"/>
      <c r="F199" s="606"/>
      <c r="G199" s="606"/>
      <c r="H199" s="606"/>
      <c r="I199" s="606"/>
      <c r="J199" s="606"/>
      <c r="K199" s="606"/>
      <c r="L199" s="606"/>
      <c r="M199" s="606"/>
      <c r="N199" s="606"/>
      <c r="O199" s="606"/>
      <c r="P199" s="606"/>
      <c r="Q199" s="607"/>
      <c r="R199" s="16"/>
    </row>
    <row r="200" spans="4:18" ht="14.5" customHeight="1">
      <c r="D200" s="13"/>
      <c r="E200" s="605"/>
      <c r="F200" s="606"/>
      <c r="G200" s="606"/>
      <c r="H200" s="606"/>
      <c r="I200" s="606"/>
      <c r="J200" s="606"/>
      <c r="K200" s="606"/>
      <c r="L200" s="606"/>
      <c r="M200" s="606"/>
      <c r="N200" s="606"/>
      <c r="O200" s="606"/>
      <c r="P200" s="606"/>
      <c r="Q200" s="607"/>
      <c r="R200" s="16"/>
    </row>
    <row r="201" spans="4:18" ht="14.5" customHeight="1">
      <c r="D201" s="13"/>
      <c r="E201" s="605"/>
      <c r="F201" s="606"/>
      <c r="G201" s="606"/>
      <c r="H201" s="606"/>
      <c r="I201" s="606"/>
      <c r="J201" s="606"/>
      <c r="K201" s="606"/>
      <c r="L201" s="606"/>
      <c r="M201" s="606"/>
      <c r="N201" s="606"/>
      <c r="O201" s="606"/>
      <c r="P201" s="606"/>
      <c r="Q201" s="607"/>
      <c r="R201" s="16"/>
    </row>
    <row r="202" spans="4:18" ht="14.5" customHeight="1">
      <c r="D202" s="13"/>
      <c r="E202" s="605"/>
      <c r="F202" s="606"/>
      <c r="G202" s="606"/>
      <c r="H202" s="606"/>
      <c r="I202" s="606"/>
      <c r="J202" s="606"/>
      <c r="K202" s="606"/>
      <c r="L202" s="606"/>
      <c r="M202" s="606"/>
      <c r="N202" s="606"/>
      <c r="O202" s="606"/>
      <c r="P202" s="606"/>
      <c r="Q202" s="607"/>
      <c r="R202" s="16"/>
    </row>
    <row r="203" spans="4:18" ht="14.5" customHeight="1">
      <c r="D203" s="13"/>
      <c r="E203" s="605"/>
      <c r="F203" s="606"/>
      <c r="G203" s="606"/>
      <c r="H203" s="606"/>
      <c r="I203" s="606"/>
      <c r="J203" s="606"/>
      <c r="K203" s="606"/>
      <c r="L203" s="606"/>
      <c r="M203" s="606"/>
      <c r="N203" s="606"/>
      <c r="O203" s="606"/>
      <c r="P203" s="606"/>
      <c r="Q203" s="607"/>
      <c r="R203" s="16"/>
    </row>
    <row r="204" spans="4:18" ht="14.5" customHeight="1">
      <c r="D204" s="13"/>
      <c r="E204" s="605"/>
      <c r="F204" s="606"/>
      <c r="G204" s="606"/>
      <c r="H204" s="606"/>
      <c r="I204" s="606"/>
      <c r="J204" s="606"/>
      <c r="K204" s="606"/>
      <c r="L204" s="606"/>
      <c r="M204" s="606"/>
      <c r="N204" s="606"/>
      <c r="O204" s="606"/>
      <c r="P204" s="606"/>
      <c r="Q204" s="607"/>
      <c r="R204" s="16"/>
    </row>
    <row r="205" spans="4:18" ht="14.5" customHeight="1">
      <c r="D205" s="13"/>
      <c r="E205" s="605"/>
      <c r="F205" s="606"/>
      <c r="G205" s="606"/>
      <c r="H205" s="606"/>
      <c r="I205" s="606"/>
      <c r="J205" s="606"/>
      <c r="K205" s="606"/>
      <c r="L205" s="606"/>
      <c r="M205" s="606"/>
      <c r="N205" s="606"/>
      <c r="O205" s="606"/>
      <c r="P205" s="606"/>
      <c r="Q205" s="607"/>
      <c r="R205" s="16"/>
    </row>
    <row r="206" spans="4:18" ht="14.5" customHeight="1">
      <c r="D206" s="13"/>
      <c r="E206" s="605"/>
      <c r="F206" s="606"/>
      <c r="G206" s="606"/>
      <c r="H206" s="606"/>
      <c r="I206" s="606"/>
      <c r="J206" s="606"/>
      <c r="K206" s="606"/>
      <c r="L206" s="606"/>
      <c r="M206" s="606"/>
      <c r="N206" s="606"/>
      <c r="O206" s="606"/>
      <c r="P206" s="606"/>
      <c r="Q206" s="607"/>
      <c r="R206" s="16"/>
    </row>
    <row r="207" spans="4:18" ht="14.5" customHeight="1">
      <c r="D207" s="13"/>
      <c r="E207" s="605"/>
      <c r="F207" s="606"/>
      <c r="G207" s="606"/>
      <c r="H207" s="606"/>
      <c r="I207" s="606"/>
      <c r="J207" s="606"/>
      <c r="K207" s="606"/>
      <c r="L207" s="606"/>
      <c r="M207" s="606"/>
      <c r="N207" s="606"/>
      <c r="O207" s="606"/>
      <c r="P207" s="606"/>
      <c r="Q207" s="607"/>
      <c r="R207" s="16"/>
    </row>
    <row r="208" spans="4:18" ht="14.5" customHeight="1">
      <c r="D208" s="13"/>
      <c r="E208" s="605"/>
      <c r="F208" s="606"/>
      <c r="G208" s="606"/>
      <c r="H208" s="606"/>
      <c r="I208" s="606"/>
      <c r="J208" s="606"/>
      <c r="K208" s="606"/>
      <c r="L208" s="606"/>
      <c r="M208" s="606"/>
      <c r="N208" s="606"/>
      <c r="O208" s="606"/>
      <c r="P208" s="606"/>
      <c r="Q208" s="607"/>
      <c r="R208" s="16"/>
    </row>
    <row r="209" spans="4:18" ht="14.5" customHeight="1">
      <c r="D209" s="13"/>
      <c r="E209" s="605"/>
      <c r="F209" s="606"/>
      <c r="G209" s="606"/>
      <c r="H209" s="606"/>
      <c r="I209" s="606"/>
      <c r="J209" s="606"/>
      <c r="K209" s="606"/>
      <c r="L209" s="606"/>
      <c r="M209" s="606"/>
      <c r="N209" s="606"/>
      <c r="O209" s="606"/>
      <c r="P209" s="606"/>
      <c r="Q209" s="607"/>
      <c r="R209" s="16"/>
    </row>
    <row r="210" spans="4:18" ht="14.5" customHeight="1">
      <c r="D210" s="13"/>
      <c r="E210" s="605"/>
      <c r="F210" s="606"/>
      <c r="G210" s="606"/>
      <c r="H210" s="606"/>
      <c r="I210" s="606"/>
      <c r="J210" s="606"/>
      <c r="K210" s="606"/>
      <c r="L210" s="606"/>
      <c r="M210" s="606"/>
      <c r="N210" s="606"/>
      <c r="O210" s="606"/>
      <c r="P210" s="606"/>
      <c r="Q210" s="607"/>
      <c r="R210" s="16"/>
    </row>
    <row r="211" spans="4:18" ht="14.5" customHeight="1">
      <c r="D211" s="13"/>
      <c r="E211" s="605"/>
      <c r="F211" s="606"/>
      <c r="G211" s="606"/>
      <c r="H211" s="606"/>
      <c r="I211" s="606"/>
      <c r="J211" s="606"/>
      <c r="K211" s="606"/>
      <c r="L211" s="606"/>
      <c r="M211" s="606"/>
      <c r="N211" s="606"/>
      <c r="O211" s="606"/>
      <c r="P211" s="606"/>
      <c r="Q211" s="607"/>
      <c r="R211" s="16"/>
    </row>
    <row r="212" spans="4:18" ht="14.5" customHeight="1">
      <c r="D212" s="13"/>
      <c r="E212" s="605"/>
      <c r="F212" s="606"/>
      <c r="G212" s="606"/>
      <c r="H212" s="606"/>
      <c r="I212" s="606"/>
      <c r="J212" s="606"/>
      <c r="K212" s="606"/>
      <c r="L212" s="606"/>
      <c r="M212" s="606"/>
      <c r="N212" s="606"/>
      <c r="O212" s="606"/>
      <c r="P212" s="606"/>
      <c r="Q212" s="607"/>
      <c r="R212" s="16"/>
    </row>
    <row r="213" spans="4:18" ht="14.5" customHeight="1">
      <c r="D213" s="13"/>
      <c r="E213" s="605"/>
      <c r="F213" s="606"/>
      <c r="G213" s="606"/>
      <c r="H213" s="606"/>
      <c r="I213" s="606"/>
      <c r="J213" s="606"/>
      <c r="K213" s="606"/>
      <c r="L213" s="606"/>
      <c r="M213" s="606"/>
      <c r="N213" s="606"/>
      <c r="O213" s="606"/>
      <c r="P213" s="606"/>
      <c r="Q213" s="607"/>
      <c r="R213" s="16"/>
    </row>
    <row r="214" spans="4:18">
      <c r="D214" s="13"/>
      <c r="E214" s="605"/>
      <c r="F214" s="606"/>
      <c r="G214" s="606"/>
      <c r="H214" s="606"/>
      <c r="I214" s="606"/>
      <c r="J214" s="606"/>
      <c r="K214" s="606"/>
      <c r="L214" s="606"/>
      <c r="M214" s="606"/>
      <c r="N214" s="606"/>
      <c r="O214" s="606"/>
      <c r="P214" s="606"/>
      <c r="Q214" s="607"/>
      <c r="R214" s="16"/>
    </row>
    <row r="215" spans="4:18">
      <c r="D215" s="13"/>
      <c r="E215" s="605"/>
      <c r="F215" s="606"/>
      <c r="G215" s="606"/>
      <c r="H215" s="606"/>
      <c r="I215" s="606"/>
      <c r="J215" s="606"/>
      <c r="K215" s="606"/>
      <c r="L215" s="606"/>
      <c r="M215" s="606"/>
      <c r="N215" s="606"/>
      <c r="O215" s="606"/>
      <c r="P215" s="606"/>
      <c r="Q215" s="607"/>
      <c r="R215" s="16"/>
    </row>
    <row r="216" spans="4:18">
      <c r="D216" s="13"/>
      <c r="E216" s="605"/>
      <c r="F216" s="606"/>
      <c r="G216" s="606"/>
      <c r="H216" s="606"/>
      <c r="I216" s="606"/>
      <c r="J216" s="606"/>
      <c r="K216" s="606"/>
      <c r="L216" s="606"/>
      <c r="M216" s="606"/>
      <c r="N216" s="606"/>
      <c r="O216" s="606"/>
      <c r="P216" s="606"/>
      <c r="Q216" s="607"/>
      <c r="R216" s="16"/>
    </row>
    <row r="217" spans="4:18">
      <c r="D217" s="13"/>
      <c r="E217" s="605"/>
      <c r="F217" s="606"/>
      <c r="G217" s="606"/>
      <c r="H217" s="606"/>
      <c r="I217" s="606"/>
      <c r="J217" s="606"/>
      <c r="K217" s="606"/>
      <c r="L217" s="606"/>
      <c r="M217" s="606"/>
      <c r="N217" s="606"/>
      <c r="O217" s="606"/>
      <c r="P217" s="606"/>
      <c r="Q217" s="607"/>
      <c r="R217" s="16"/>
    </row>
    <row r="218" spans="4:18">
      <c r="D218" s="13"/>
      <c r="E218" s="605"/>
      <c r="F218" s="606"/>
      <c r="G218" s="606"/>
      <c r="H218" s="606"/>
      <c r="I218" s="606"/>
      <c r="J218" s="606"/>
      <c r="K218" s="606"/>
      <c r="L218" s="606"/>
      <c r="M218" s="606"/>
      <c r="N218" s="606"/>
      <c r="O218" s="606"/>
      <c r="P218" s="606"/>
      <c r="Q218" s="607"/>
      <c r="R218" s="16"/>
    </row>
    <row r="219" spans="4:18">
      <c r="D219" s="13"/>
      <c r="E219" s="608"/>
      <c r="F219" s="609"/>
      <c r="G219" s="609"/>
      <c r="H219" s="609"/>
      <c r="I219" s="609"/>
      <c r="J219" s="609"/>
      <c r="K219" s="609"/>
      <c r="L219" s="609"/>
      <c r="M219" s="609"/>
      <c r="N219" s="609"/>
      <c r="O219" s="609"/>
      <c r="P219" s="609"/>
      <c r="Q219" s="610"/>
      <c r="R219" s="16"/>
    </row>
    <row r="220" spans="4:18">
      <c r="D220" s="13"/>
      <c r="E220" s="14"/>
      <c r="F220" s="14"/>
      <c r="G220" s="14"/>
      <c r="H220" s="14"/>
      <c r="I220" s="14"/>
      <c r="J220" s="14"/>
      <c r="K220" s="14"/>
      <c r="L220" s="14"/>
      <c r="M220" s="14"/>
      <c r="N220" s="14"/>
      <c r="O220" s="14"/>
      <c r="P220" s="14"/>
      <c r="Q220" s="14"/>
      <c r="R220" s="15"/>
    </row>
    <row r="221" spans="4:18">
      <c r="D221" s="18"/>
      <c r="E221" s="19"/>
      <c r="F221" s="19"/>
      <c r="G221" s="19"/>
      <c r="H221" s="19"/>
      <c r="I221" s="19"/>
      <c r="J221" s="19"/>
      <c r="K221" s="19"/>
      <c r="L221" s="19"/>
      <c r="M221" s="19"/>
      <c r="N221" s="19"/>
      <c r="O221" s="19"/>
      <c r="P221" s="19"/>
      <c r="Q221" s="19"/>
      <c r="R221" s="17"/>
    </row>
  </sheetData>
  <mergeCells count="5">
    <mergeCell ref="E189:Q189"/>
    <mergeCell ref="E190:Q219"/>
    <mergeCell ref="C2:S2"/>
    <mergeCell ref="E4:Q4"/>
    <mergeCell ref="E5:Q2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7">
    <tabColor rgb="FFC39BE1"/>
  </sheetPr>
  <dimension ref="A1:O29"/>
  <sheetViews>
    <sheetView zoomScale="55" zoomScaleNormal="55" workbookViewId="0">
      <selection activeCell="A15" sqref="A15:XFD15"/>
    </sheetView>
  </sheetViews>
  <sheetFormatPr baseColWidth="10" defaultColWidth="10.54296875" defaultRowHeight="14.5"/>
  <cols>
    <col min="1" max="1" width="16.54296875" style="48" customWidth="1"/>
    <col min="2" max="2" width="14.7265625" style="1" customWidth="1"/>
    <col min="3" max="3" width="18.81640625" style="1" customWidth="1"/>
    <col min="4" max="4" width="50.81640625" style="1" customWidth="1"/>
    <col min="5" max="5" width="24.1796875" style="1" customWidth="1"/>
    <col min="6" max="6" width="21.453125" style="1" customWidth="1"/>
    <col min="7" max="7" width="25.26953125" style="1" customWidth="1"/>
    <col min="8" max="8" width="27.26953125" style="1" customWidth="1"/>
    <col min="9" max="9" width="33.1796875" style="1" customWidth="1"/>
    <col min="10" max="10" width="20.453125" style="1" customWidth="1"/>
    <col min="11" max="11" width="28.453125" style="1" customWidth="1"/>
    <col min="12" max="12" width="20.54296875" style="1" customWidth="1"/>
    <col min="13" max="13" width="25" style="1" customWidth="1"/>
    <col min="14" max="14" width="40.26953125" style="1" customWidth="1"/>
    <col min="15" max="15" width="48" style="1" hidden="1" customWidth="1"/>
    <col min="16" max="16384" width="10.54296875" style="1"/>
  </cols>
  <sheetData>
    <row r="1" spans="1:15" ht="57.25" customHeight="1">
      <c r="B1" s="48"/>
      <c r="C1" s="48"/>
      <c r="D1" s="48"/>
      <c r="E1" s="48"/>
      <c r="F1" s="48"/>
      <c r="G1" s="48"/>
      <c r="H1" s="48"/>
      <c r="I1" s="48"/>
      <c r="J1" s="48"/>
      <c r="K1" s="48"/>
      <c r="L1" s="48"/>
      <c r="M1" s="48"/>
      <c r="N1" s="48"/>
    </row>
    <row r="3" spans="1:15" ht="18.5">
      <c r="C3" s="618" t="s">
        <v>1020</v>
      </c>
      <c r="D3" s="618"/>
      <c r="E3" s="618"/>
      <c r="F3" s="618"/>
      <c r="G3" s="618"/>
      <c r="H3" s="618"/>
      <c r="I3" s="618"/>
      <c r="J3" s="618"/>
      <c r="K3" s="618"/>
      <c r="L3" s="618"/>
      <c r="M3" s="618"/>
      <c r="N3" s="618"/>
      <c r="O3" s="618"/>
    </row>
    <row r="5" spans="1:15" s="47" customFormat="1" ht="52.5" customHeight="1">
      <c r="A5" s="49"/>
      <c r="B5" s="47" t="s">
        <v>1013</v>
      </c>
      <c r="C5" s="177" t="s">
        <v>18</v>
      </c>
      <c r="D5" s="177" t="s">
        <v>19</v>
      </c>
      <c r="E5" s="177" t="s">
        <v>20</v>
      </c>
      <c r="F5" s="177" t="s">
        <v>21</v>
      </c>
      <c r="G5" s="177" t="s">
        <v>22</v>
      </c>
      <c r="H5" s="177" t="s">
        <v>23</v>
      </c>
      <c r="I5" s="177" t="s">
        <v>24</v>
      </c>
      <c r="J5" s="177" t="s">
        <v>25</v>
      </c>
      <c r="K5" s="177" t="s">
        <v>26</v>
      </c>
      <c r="L5" s="177" t="s">
        <v>27</v>
      </c>
      <c r="M5" s="177" t="s">
        <v>28</v>
      </c>
      <c r="N5" s="177" t="s">
        <v>29</v>
      </c>
    </row>
    <row r="6" spans="1:15" ht="86.5" customHeight="1">
      <c r="B6" s="139">
        <v>194</v>
      </c>
      <c r="C6" s="62" t="str">
        <f>VLOOKUP(Tableau1[[#This Row],[Colonne1]],Tableau124[#All],2,FALSE)</f>
        <v>Territoire de Belfort (90)</v>
      </c>
      <c r="D6" s="62" t="str">
        <f>VLOOKUP(Tableau1[[#This Row],[Colonne1]],Tableau124[#All],3,FALSE)</f>
        <v>Bavilliers</v>
      </c>
      <c r="E6" s="62" t="str">
        <f>VLOOKUP(Tableau1[[#This Row],[Colonne1]],Tableau124[#All],4,FALSE)</f>
        <v>90800</v>
      </c>
      <c r="F6" s="63" t="str">
        <f>VLOOKUP(Tableau1[[#This Row],[Colonne1]],Tableau124[#All],5,FALSE)</f>
        <v>Hôpital psychiatrique, 5 rte de Froideval</v>
      </c>
      <c r="G6" s="63" t="str">
        <f>VLOOKUP(Tableau1[[#This Row],[Colonne1]],Tableau124[#All],6,FALSE)</f>
        <v>ELSA</v>
      </c>
      <c r="H6" s="62" t="str">
        <f>VLOOKUP(Tableau1[[#This Row],[Colonne1]],Tableau124[#All],7,FALSE)</f>
        <v>AHBFC</v>
      </c>
      <c r="I6" s="62" t="str">
        <f>VLOOKUP(Tableau1[[#This Row],[Colonne1]],Tableau124[#All],8,FALSE)</f>
        <v>Associatif</v>
      </c>
      <c r="J6" s="276" t="str">
        <f>VLOOKUP(Tableau1[[#This Row],[Colonne1]],Tableau124[#All],9,FALSE)</f>
        <v>contact@ahbfc.fr</v>
      </c>
      <c r="K6" s="178" t="str">
        <f>VLOOKUP(Tableau1[[#This Row],[Colonne1]],Tableau124[#All],10,FALSE)</f>
        <v>03 84 57 45 37</v>
      </c>
      <c r="L6" s="276" t="str">
        <f>VLOOKUP(Tableau1[[#This Row],[Colonne1]],Tableau124[#All],11,FALSE)</f>
        <v>www.ahbfc.fr</v>
      </c>
      <c r="M6" s="215" t="str">
        <f>VLOOKUP(Tableau1[[#This Row],[Colonne1]],Tableau124[#All],12,FALSE)</f>
        <v xml:space="preserve"> </v>
      </c>
      <c r="N6" s="231" t="str">
        <f>VLOOKUP(Tableau1[[#This Row],[Colonne1]],Tableau124[#All],13,FALSE)</f>
        <v>- intervention auprès de public majeur ; 
- intervention en urgences HNFC, services MCO HNFC, services psychiatriques AHBFC</v>
      </c>
    </row>
    <row r="7" spans="1:15" ht="86.5" customHeight="1">
      <c r="B7" s="139">
        <v>195</v>
      </c>
      <c r="C7" s="132" t="str">
        <f>VLOOKUP(Tableau1[[#This Row],[Colonne1]],Tableau124[#All],2,FALSE)</f>
        <v>Territoire de Belfort (90)</v>
      </c>
      <c r="D7" s="132" t="str">
        <f>VLOOKUP(Tableau1[[#This Row],[Colonne1]],Tableau124[#All],3,FALSE)</f>
        <v>Bavilliers</v>
      </c>
      <c r="E7" s="132" t="str">
        <f>VLOOKUP(Tableau1[[#This Row],[Colonne1]],Tableau124[#All],4,FALSE)</f>
        <v>90800</v>
      </c>
      <c r="F7" s="132" t="str">
        <f>VLOOKUP(Tableau1[[#This Row],[Colonne1]],Tableau124[#All],5,FALSE)</f>
        <v>CPG
59 rue Paul Vinot
70400 Héricourt</v>
      </c>
      <c r="G7" s="132" t="str">
        <f>VLOOKUP(Tableau1[[#This Row],[Colonne1]],Tableau124[#All],6,FALSE)</f>
        <v>Sevrage simple</v>
      </c>
      <c r="H7" s="132" t="str">
        <f>VLOOKUP(Tableau1[[#This Row],[Colonne1]],Tableau124[#All],7,FALSE)</f>
        <v>AHBFC</v>
      </c>
      <c r="I7" s="132" t="str">
        <f>VLOOKUP(Tableau1[[#This Row],[Colonne1]],Tableau124[#All],8,FALSE)</f>
        <v>Associatif</v>
      </c>
      <c r="J7" s="280" t="str">
        <f>VLOOKUP(Tableau1[[#This Row],[Colonne1]],Tableau124[#All],9,FALSE)</f>
        <v>contact@ahbfc.fr</v>
      </c>
      <c r="K7" s="193" t="str">
        <f>VLOOKUP(Tableau1[[#This Row],[Colonne1]],Tableau124[#All],10,FALSE)</f>
        <v>03 84 90 89 00</v>
      </c>
      <c r="L7" s="280" t="str">
        <f>VLOOKUP(Tableau1[[#This Row],[Colonne1]],Tableau124[#All],11,FALSE)</f>
        <v>www.ahbfc.fr</v>
      </c>
      <c r="M7" s="215" t="str">
        <f>VLOOKUP(Tableau1[[#This Row],[Colonne1]],Tableau124[#All],12,FALSE)</f>
        <v xml:space="preserve"> </v>
      </c>
      <c r="N7" s="232" t="str">
        <f>VLOOKUP(Tableau1[[#This Row],[Colonne1]],Tableau124[#All],13,FALSE)</f>
        <v>- interventions auprès d'un public majeur ; 
- lits installés au sein d'une même unité ; 
- unité de CPG Héricourt, 3ème étage</v>
      </c>
    </row>
    <row r="8" spans="1:15" ht="86.5" customHeight="1">
      <c r="B8" s="139">
        <v>198</v>
      </c>
      <c r="C8" s="129" t="str">
        <f>VLOOKUP(Tableau1[[#This Row],[Colonne1]],Tableau124[#All],2,FALSE)</f>
        <v>Territoire de Belfort (90)</v>
      </c>
      <c r="D8" s="129" t="str">
        <f>VLOOKUP(Tableau1[[#This Row],[Colonne1]],Tableau124[#All],3,FALSE)</f>
        <v>Belfort</v>
      </c>
      <c r="E8" s="129">
        <f>VLOOKUP(Tableau1[[#This Row],[Colonne1]],Tableau124[#All],4,FALSE)</f>
        <v>90000</v>
      </c>
      <c r="F8" s="129" t="str">
        <f>VLOOKUP(Tableau1[[#This Row],[Colonne1]],Tableau124[#All],5,FALSE)</f>
        <v>CMP Adultes, 53 Bd  Renaud de Bourgogne</v>
      </c>
      <c r="G8" s="129" t="str">
        <f>VLOOKUP(Tableau1[[#This Row],[Colonne1]],Tableau124[#All],6,FALSE)</f>
        <v>Consultations Hospitalières externes d'addictologie</v>
      </c>
      <c r="H8" s="129" t="str">
        <f>VLOOKUP(Tableau1[[#This Row],[Colonne1]],Tableau124[#All],7,FALSE)</f>
        <v>AHBFC</v>
      </c>
      <c r="I8" s="129" t="str">
        <f>VLOOKUP(Tableau1[[#This Row],[Colonne1]],Tableau124[#All],8,FALSE)</f>
        <v>Associatif</v>
      </c>
      <c r="J8" s="265" t="str">
        <f>VLOOKUP(Tableau1[[#This Row],[Colonne1]],Tableau124[#All],9,FALSE)</f>
        <v>contact@ahbfc.fr</v>
      </c>
      <c r="K8" s="203" t="str">
        <f>VLOOKUP(Tableau1[[#This Row],[Colonne1]],Tableau124[#All],10,FALSE)</f>
        <v>03 84 57 45 37</v>
      </c>
      <c r="L8" s="264" t="str">
        <f>VLOOKUP(Tableau1[[#This Row],[Colonne1]],Tableau124[#All],11,FALSE)</f>
        <v>www.ahbfc.fr</v>
      </c>
      <c r="M8" s="122" t="str">
        <f>VLOOKUP(Tableau1[[#This Row],[Colonne1]],Tableau124[#All],12,FALSE)</f>
        <v>du lundi au vendredi après-midi (14h-17h), sur rendez-vous.</v>
      </c>
      <c r="N8" s="123" t="str">
        <f>VLOOKUP(Tableau1[[#This Row],[Colonne1]],Tableau124[#All],13,FALSE)</f>
        <v>Intervention auprès de public majeurs</v>
      </c>
    </row>
    <row r="9" spans="1:15" ht="86.5" customHeight="1">
      <c r="B9" s="139">
        <v>199</v>
      </c>
      <c r="C9" s="548" t="str">
        <f>VLOOKUP(Tableau1[[#This Row],[Colonne1]],Tableau124[#All],2,FALSE)</f>
        <v>Territoire de Belfort (90)</v>
      </c>
      <c r="D9" s="548" t="str">
        <f>VLOOKUP(Tableau1[[#This Row],[Colonne1]],Tableau124[#All],3,FALSE)</f>
        <v>Belfort</v>
      </c>
      <c r="E9" s="548">
        <f>VLOOKUP(Tableau1[[#This Row],[Colonne1]],Tableau124[#All],4,FALSE)</f>
        <v>90000</v>
      </c>
      <c r="F9" s="129" t="str">
        <f>VLOOKUP(Tableau1[[#This Row],[Colonne1]],Tableau124[#All],5,FALSE)</f>
        <v>CMP, 2 Av. des Usines</v>
      </c>
      <c r="G9" s="548" t="str">
        <f>VLOOKUP(Tableau1[[#This Row],[Colonne1]],Tableau124[#All],6,FALSE)</f>
        <v>Consultations Hospitalières externes d'addictologie (autre lieu d'intervention)</v>
      </c>
      <c r="H9" s="548" t="str">
        <f>VLOOKUP(Tableau1[[#This Row],[Colonne1]],Tableau124[#All],7,FALSE)</f>
        <v>CMP (AHBFC)</v>
      </c>
      <c r="I9" s="548" t="str">
        <f>VLOOKUP(Tableau1[[#This Row],[Colonne1]],Tableau124[#All],8,FALSE)</f>
        <v>Associatif</v>
      </c>
      <c r="J9" s="265" t="str">
        <f>VLOOKUP(Tableau1[[#This Row],[Colonne1]],Tableau124[#All],9,FALSE)</f>
        <v>contact@ahbfc.fr</v>
      </c>
      <c r="K9" s="203" t="str">
        <f>VLOOKUP(Tableau1[[#This Row],[Colonne1]],Tableau124[#All],10,FALSE)</f>
        <v>03 84 68 25 00</v>
      </c>
      <c r="L9" s="265" t="str">
        <f>VLOOKUP(Tableau1[[#This Row],[Colonne1]],Tableau124[#All],11,FALSE)</f>
        <v>www.ahbfc.fr</v>
      </c>
      <c r="M9" s="206" t="str">
        <f>VLOOKUP(Tableau1[[#This Row],[Colonne1]],Tableau124[#All],12,FALSE)</f>
        <v>du lundi au vendredi 14h-17h</v>
      </c>
      <c r="N9" s="123" t="str">
        <f>VLOOKUP(Tableau1[[#This Row],[Colonne1]],Tableau124[#All],13,FALSE)</f>
        <v xml:space="preserve">Intervention auprès de public majeurs </v>
      </c>
    </row>
    <row r="10" spans="1:15" ht="86.5" customHeight="1">
      <c r="B10" s="139">
        <v>201</v>
      </c>
      <c r="C10" s="85" t="str">
        <f>VLOOKUP(Tableau1[[#This Row],[Colonne1]],Tableau124[#All],2,FALSE)</f>
        <v>Territoire de Belfort (90)</v>
      </c>
      <c r="D10" s="85" t="str">
        <f>VLOOKUP(Tableau1[[#This Row],[Colonne1]],Tableau124[#All],3,FALSE)</f>
        <v>Belfort</v>
      </c>
      <c r="E10" s="85" t="str">
        <f>VLOOKUP(Tableau1[[#This Row],[Colonne1]],Tableau124[#All],4,FALSE)</f>
        <v>90000</v>
      </c>
      <c r="F10" s="85" t="str">
        <f>VLOOKUP(Tableau1[[#This Row],[Colonne1]],Tableau124[#All],5,FALSE)</f>
        <v>6 Rue du Rhône</v>
      </c>
      <c r="G10" s="85" t="str">
        <f>VLOOKUP(Tableau1[[#This Row],[Colonne1]],Tableau124[#All],6,FALSE)</f>
        <v>CSAPA</v>
      </c>
      <c r="H10" s="85" t="str">
        <f>VLOOKUP(Tableau1[[#This Row],[Colonne1]],Tableau124[#All],7,FALSE)</f>
        <v>CSAPA de Belfort - Association Addictions France
CSAPA Le Relais Equinoxe - Association d'Hygiène Sociale de Franche Comté</v>
      </c>
      <c r="I10" s="85" t="str">
        <f>VLOOKUP(Tableau1[[#This Row],[Colonne1]],Tableau124[#All],8,FALSE)</f>
        <v>Associatif</v>
      </c>
      <c r="J10" s="268" t="str">
        <f>VLOOKUP(Tableau1[[#This Row],[Colonne1]],Tableau124[#All],9,FALSE)</f>
        <v>csapa.belfort@addictions-france.org
pole-addictologie.nfc@ahs-fc.fr</v>
      </c>
      <c r="K10" s="205" t="str">
        <f>VLOOKUP(Tableau1[[#This Row],[Colonne1]],Tableau124[#All],10,FALSE)</f>
        <v>03.84.22.31.39
03 84 21 76 02</v>
      </c>
      <c r="L10" s="268" t="str">
        <f>VLOOKUP(Tableau1[[#This Row],[Colonne1]],Tableau124[#All],11,FALSE)</f>
        <v>www.addictions-france.org
www.ahs-fc.fr</v>
      </c>
      <c r="M10" s="100" t="str">
        <f>VLOOKUP(Tableau1[[#This Row],[Colonne1]],Tableau124[#All],12,FALSE)</f>
        <v>Du Lundi au Jeudi 09H-17H
Le vendredi 09H - 16H
Et CJC le mercredi de 14H à 17H (salle du rez de Chaussée)</v>
      </c>
      <c r="N10" s="243" t="str">
        <f>VLOOKUP(Tableau1[[#This Row],[Colonne1]],Tableau124[#All],13,FALSE)</f>
        <v>- Réalisation de consultations avancées sur Trevenans ;
- intervention en milieu festif ;
- Intervention en milieu pénitentiaire à la maison d'arrêt de Belfort ;
- proposition de test rapide d'orientation diagnostic (TROD) ; 
- présence d'une CJC.</v>
      </c>
    </row>
    <row r="11" spans="1:15" ht="86.5" customHeight="1">
      <c r="B11" s="139">
        <v>197</v>
      </c>
      <c r="C11" s="89" t="str">
        <f>VLOOKUP(Tableau1[[#This Row],[Colonne1]],Tableau124[#All],2,FALSE)</f>
        <v>Territoire de Belfort (90)</v>
      </c>
      <c r="D11" s="89" t="str">
        <f>VLOOKUP(Tableau1[[#This Row],[Colonne1]],Tableau124[#All],3,FALSE)</f>
        <v>Belfort</v>
      </c>
      <c r="E11" s="89">
        <f>VLOOKUP(Tableau1[[#This Row],[Colonne1]],Tableau124[#All],4,FALSE)</f>
        <v>90000</v>
      </c>
      <c r="F11" s="89" t="str">
        <f>VLOOKUP(Tableau1[[#This Row],[Colonne1]],Tableau124[#All],5,FALSE)</f>
        <v>6 rue du rhône</v>
      </c>
      <c r="G11" s="89" t="str">
        <f>VLOOKUP(Tableau1[[#This Row],[Colonne1]],Tableau124[#All],6,FALSE)</f>
        <v>CJC</v>
      </c>
      <c r="H11" s="89" t="str">
        <f>VLOOKUP(Tableau1[[#This Row],[Colonne1]],Tableau124[#All],7,FALSE)</f>
        <v>CSAPA Le Relais Equinoxe - Association d'Hygiène Sociale de Franche Comté</v>
      </c>
      <c r="I11" s="89" t="str">
        <f>VLOOKUP(Tableau1[[#This Row],[Colonne1]],Tableau124[#All],8,FALSE)</f>
        <v>Associatif</v>
      </c>
      <c r="J11" s="306" t="str">
        <f>VLOOKUP(Tableau1[[#This Row],[Colonne1]],Tableau124[#All],9,FALSE)</f>
        <v xml:space="preserve">pole-addictologie.nfc@afs-fc.fr </v>
      </c>
      <c r="K11" s="207" t="str">
        <f>VLOOKUP(Tableau1[[#This Row],[Colonne1]],Tableau124[#All],10,FALSE)</f>
        <v>03.84.21.76.02</v>
      </c>
      <c r="L11" s="306" t="str">
        <f>VLOOKUP(Tableau1[[#This Row],[Colonne1]],Tableau124[#All],11,FALSE)</f>
        <v>www.ahs-fc.fr</v>
      </c>
      <c r="M11" s="222" t="str">
        <f>VLOOKUP(Tableau1[[#This Row],[Colonne1]],Tableau124[#All],12,FALSE)</f>
        <v>mercredi 14H - 17H</v>
      </c>
      <c r="N11" s="234" t="str">
        <f>VLOOKUP(Tableau1[[#This Row],[Colonne1]],Tableau124[#All],13,FALSE)</f>
        <v xml:space="preserve">- Accueil des familles ; 
- Orientation avec et sans rendez-vous ;
- CJC accessible à la famille et l'entourage ; </v>
      </c>
    </row>
    <row r="12" spans="1:15" ht="86.5" customHeight="1">
      <c r="B12" s="139">
        <v>200</v>
      </c>
      <c r="C12" s="129" t="str">
        <f>VLOOKUP(Tableau1[[#This Row],[Colonne1]],Tableau124[#All],2,FALSE)</f>
        <v>Territoire de Belfort (90)</v>
      </c>
      <c r="D12" s="129" t="str">
        <f>VLOOKUP(Tableau1[[#This Row],[Colonne1]],Tableau124[#All],3,FALSE)</f>
        <v>Belfort</v>
      </c>
      <c r="E12" s="129">
        <f>VLOOKUP(Tableau1[[#This Row],[Colonne1]],Tableau124[#All],4,FALSE)</f>
        <v>90000</v>
      </c>
      <c r="F12" s="129" t="str">
        <f>VLOOKUP(Tableau1[[#This Row],[Colonne1]],Tableau124[#All],5,FALSE)</f>
        <v>5 Rue Jacqueline Auriol</v>
      </c>
      <c r="G12" s="129" t="str">
        <f>VLOOKUP(Tableau1[[#This Row],[Colonne1]],Tableau124[#All],6,FALSE)</f>
        <v>Consultations Hospitalières externes d'addictologie (autre lieu d'intervention)</v>
      </c>
      <c r="H12" s="129" t="str">
        <f>VLOOKUP(Tableau1[[#This Row],[Colonne1]],Tableau124[#All],7,FALSE)</f>
        <v>HNFC consultations Tech'nom (Hôpital Nord Franche-Comté)</v>
      </c>
      <c r="I12" s="129" t="str">
        <f>VLOOKUP(Tableau1[[#This Row],[Colonne1]],Tableau124[#All],8,FALSE)</f>
        <v>Public</v>
      </c>
      <c r="J12" s="265" t="str">
        <f>VLOOKUP(Tableau1[[#This Row],[Colonne1]],Tableau124[#All],9,FALSE)</f>
        <v>crap.medecine.secr@hnfc.fr</v>
      </c>
      <c r="K12" s="203" t="str">
        <f>VLOOKUP(Tableau1[[#This Row],[Colonne1]],Tableau124[#All],10,FALSE)</f>
        <v>03 84 98 23 50</v>
      </c>
      <c r="L12" s="265" t="str">
        <f>VLOOKUP(Tableau1[[#This Row],[Colonne1]],Tableau124[#All],11,FALSE)</f>
        <v>www.hnfc.fr</v>
      </c>
      <c r="M12" s="206" t="str">
        <f>VLOOKUP(Tableau1[[#This Row],[Colonne1]],Tableau124[#All],12,FALSE)</f>
        <v xml:space="preserve"> lundi de 8H30 à 12 H</v>
      </c>
      <c r="N12" s="123" t="str">
        <f>VLOOKUP(Tableau1[[#This Row],[Colonne1]],Tableau124[#All],13,FALSE)</f>
        <v>Intervention auprès de public majeurs ainsi qu'à l'Hôpital Nord Franche-Comté</v>
      </c>
    </row>
    <row r="13" spans="1:15" ht="86.5" customHeight="1">
      <c r="B13" s="139">
        <v>203</v>
      </c>
      <c r="C13" s="88" t="str">
        <f>VLOOKUP(Tableau1[[#This Row],[Colonne1]],Tableau124[#All],2,FALSE)</f>
        <v>Territoire de Belfort (90)</v>
      </c>
      <c r="D13" s="88" t="str">
        <f>VLOOKUP(Tableau1[[#This Row],[Colonne1]],Tableau124[#All],3,FALSE)</f>
        <v xml:space="preserve">Belfort </v>
      </c>
      <c r="E13" s="88">
        <f>VLOOKUP(Tableau1[[#This Row],[Colonne1]],Tableau124[#All],4,FALSE)</f>
        <v>90000</v>
      </c>
      <c r="F13" s="88" t="str">
        <f>VLOOKUP(Tableau1[[#This Row],[Colonne1]],Tableau124[#All],5,FALSE)</f>
        <v>4 rue Georges Koechlin</v>
      </c>
      <c r="G13" s="88" t="str">
        <f>VLOOKUP(Tableau1[[#This Row],[Colonne1]],Tableau124[#All],6,FALSE)</f>
        <v>CAARUD</v>
      </c>
      <c r="H13" s="88" t="str">
        <f>VLOOKUP(Tableau1[[#This Row],[Colonne1]],Tableau124[#All],7,FALSE)</f>
        <v>CAARUD ENTR'ACTES - Association d'Hygiène Sociale de Franche Comté</v>
      </c>
      <c r="I13" s="88" t="str">
        <f>VLOOKUP(Tableau1[[#This Row],[Colonne1]],Tableau124[#All],8,FALSE)</f>
        <v>Associatif</v>
      </c>
      <c r="J13" s="301" t="str">
        <f>VLOOKUP(Tableau1[[#This Row],[Colonne1]],Tableau124[#All],9,FALSE)</f>
        <v>pole-addictologie.nfc@ahs-fc.fr</v>
      </c>
      <c r="K13" s="210" t="str">
        <f>VLOOKUP(Tableau1[[#This Row],[Colonne1]],Tableau124[#All],10,FALSE)</f>
        <v>03.84.26.12.20
Unité Mobile : 06 85 11 08 91</v>
      </c>
      <c r="L13" s="298" t="str">
        <f>VLOOKUP(Tableau1[[#This Row],[Colonne1]],Tableau124[#All],11,FALSE)</f>
        <v>www.ahs-fc.fr</v>
      </c>
      <c r="M13" s="221" t="str">
        <f>VLOOKUP(Tableau1[[#This Row],[Colonne1]],Tableau124[#All],12,FALSE)</f>
        <v>Belfort : 
mardi et vendredi de 11h à 16h</v>
      </c>
      <c r="N13" s="233" t="str">
        <f>VLOOKUP(Tableau1[[#This Row],[Colonne1]],Tableau124[#All],13,FALSE)</f>
        <v>- unité mobile K-mobile pouvant servir de lieu d'accueil (déplacements sur tout le territoire Nord-Franche-Comté) ; 
- programme d'échange de seringues ;
- interventions ponctuelles en maraude ; 
- intervention en milieu festif ;</v>
      </c>
    </row>
    <row r="14" spans="1:15" ht="86.5" customHeight="1">
      <c r="B14" s="139">
        <v>204</v>
      </c>
      <c r="C14" s="190" t="str">
        <f>VLOOKUP(Tableau1[[#This Row],[Colonne1]],Tableau124[#All],2,FALSE)</f>
        <v>Territoire de Belfort (90)</v>
      </c>
      <c r="D14" s="135" t="str">
        <f>VLOOKUP(Tableau1[[#This Row],[Colonne1]],Tableau124[#All],3,FALSE)</f>
        <v>Delle</v>
      </c>
      <c r="E14" s="135">
        <f>VLOOKUP(Tableau1[[#This Row],[Colonne1]],Tableau124[#All],4,FALSE)</f>
        <v>90100</v>
      </c>
      <c r="F14" s="135" t="str">
        <f>VLOOKUP(Tableau1[[#This Row],[Colonne1]],Tableau124[#All],5,FALSE)</f>
        <v>Comité Inter-Entreprise
2 Rue Eugène Claret</v>
      </c>
      <c r="G14" s="135" t="str">
        <f>VLOOKUP(Tableau1[[#This Row],[Colonne1]],Tableau124[#All],6,FALSE)</f>
        <v>CSAPA (consultations avancées)</v>
      </c>
      <c r="H14" s="135" t="str">
        <f>VLOOKUP(Tableau1[[#This Row],[Colonne1]],Tableau124[#All],7,FALSE)</f>
        <v>CSAPA Le Relais Equinoxe - Association d'Hygiène Sociale de Franche Comté - consultations avancées</v>
      </c>
      <c r="I14" s="135" t="str">
        <f>VLOOKUP(Tableau1[[#This Row],[Colonne1]],Tableau124[#All],8,FALSE)</f>
        <v>Associatif</v>
      </c>
      <c r="J14" s="268" t="str">
        <f>VLOOKUP(Tableau1[[#This Row],[Colonne1]],Tableau124[#All],9,FALSE)</f>
        <v xml:space="preserve">pole-addictologie.nfc@afs-fc.fr </v>
      </c>
      <c r="K14" s="205" t="str">
        <f>VLOOKUP(Tableau1[[#This Row],[Colonne1]],Tableau124[#All],10,FALSE)</f>
        <v>03-84-21-76-02</v>
      </c>
      <c r="L14" s="269" t="str">
        <f>VLOOKUP(Tableau1[[#This Row],[Colonne1]],Tableau124[#All],11,FALSE)</f>
        <v>www.ahs-fc.fr</v>
      </c>
      <c r="M14" s="100" t="str">
        <f>VLOOKUP(Tableau1[[#This Row],[Colonne1]],Tableau124[#All],12,FALSE)</f>
        <v>09H – 16H un jeudi sur deux</v>
      </c>
      <c r="N14" s="248" t="str">
        <f>VLOOKUP(Tableau1[[#This Row],[Colonne1]],Tableau124[#All],13,FALSE)</f>
        <v>Réalisation de consultations avancées</v>
      </c>
    </row>
    <row r="15" spans="1:15" ht="86.5" customHeight="1">
      <c r="B15" s="139">
        <v>206</v>
      </c>
      <c r="C15" s="135" t="str">
        <f>VLOOKUP(Tableau1[[#This Row],[Colonne1]],Tableau124[#All],2,FALSE)</f>
        <v>Territoire de Belfort (90)</v>
      </c>
      <c r="D15" s="135" t="str">
        <f>VLOOKUP(Tableau1[[#This Row],[Colonne1]],Tableau124[#All],3,FALSE)</f>
        <v>Trévenans</v>
      </c>
      <c r="E15" s="135">
        <f>VLOOKUP(Tableau1[[#This Row],[Colonne1]],Tableau124[#All],4,FALSE)</f>
        <v>90400</v>
      </c>
      <c r="F15" s="135" t="str">
        <f>VLOOKUP(Tableau1[[#This Row],[Colonne1]],Tableau124[#All],5,FALSE)</f>
        <v>Hôpital Nord Franche-Comté, 100 route de Moval</v>
      </c>
      <c r="G15" s="135" t="str">
        <f>VLOOKUP(Tableau1[[#This Row],[Colonne1]],Tableau124[#All],6,FALSE)</f>
        <v>CSAPA (consultations avancées)</v>
      </c>
      <c r="H15" s="135" t="str">
        <f>VLOOKUP(Tableau1[[#This Row],[Colonne1]],Tableau124[#All],7,FALSE)</f>
        <v>CSAPA de Belfort - Association Addictions France - consultations avancées</v>
      </c>
      <c r="I15" s="135" t="str">
        <f>VLOOKUP(Tableau1[[#This Row],[Colonne1]],Tableau124[#All],8,FALSE)</f>
        <v>Associatif</v>
      </c>
      <c r="J15" s="268" t="str">
        <f>VLOOKUP(Tableau1[[#This Row],[Colonne1]],Tableau124[#All],9,FALSE)</f>
        <v>csapa.belfort@addictions-france.org</v>
      </c>
      <c r="K15" s="205" t="str">
        <f>VLOOKUP(Tableau1[[#This Row],[Colonne1]],Tableau124[#All],10,FALSE)</f>
        <v>03.84.22.31.39</v>
      </c>
      <c r="L15" s="268" t="str">
        <f>VLOOKUP(Tableau1[[#This Row],[Colonne1]],Tableau124[#All],11,FALSE)</f>
        <v>www.addictions-france.org</v>
      </c>
      <c r="M15" s="100" t="str">
        <f>VLOOKUP(Tableau1[[#This Row],[Colonne1]],Tableau124[#All],12,FALSE)</f>
        <v>Le lundi de 9h30 à 11h30 et le jeudi de 9h à 12h30</v>
      </c>
      <c r="N15" s="220" t="str">
        <f>VLOOKUP(Tableau1[[#This Row],[Colonne1]],Tableau124[#All],13,FALSE)</f>
        <v>Réalisation de consultations avancées</v>
      </c>
    </row>
    <row r="16" spans="1:15" ht="86.5" customHeight="1">
      <c r="B16" s="139">
        <v>205</v>
      </c>
      <c r="C16" s="104" t="str">
        <f>VLOOKUP(Tableau1[[#This Row],[Colonne1]],Tableau124[#All],2,FALSE)</f>
        <v>Territoire de Belfort (90)</v>
      </c>
      <c r="D16" s="104" t="str">
        <f>VLOOKUP(Tableau1[[#This Row],[Colonne1]],Tableau124[#All],3,FALSE)</f>
        <v>Trévenans</v>
      </c>
      <c r="E16" s="104">
        <f>VLOOKUP(Tableau1[[#This Row],[Colonne1]],Tableau124[#All],4,FALSE)</f>
        <v>90400</v>
      </c>
      <c r="F16" s="104" t="str">
        <f>VLOOKUP(Tableau1[[#This Row],[Colonne1]],Tableau124[#All],5,FALSE)</f>
        <v>100 Rte de Moval</v>
      </c>
      <c r="G16" s="104" t="str">
        <f>VLOOKUP(Tableau1[[#This Row],[Colonne1]],Tableau124[#All],6,FALSE)</f>
        <v>Consultations Hospitalières externes d'addictologie (autre lieu d'intervention)</v>
      </c>
      <c r="H16" s="104" t="str">
        <f>VLOOKUP(Tableau1[[#This Row],[Colonne1]],Tableau124[#All],7,FALSE)</f>
        <v>HNFC consultations Tech'nom (Hôpital Nord Franche-Comté)</v>
      </c>
      <c r="I16" s="104" t="str">
        <f>VLOOKUP(Tableau1[[#This Row],[Colonne1]],Tableau124[#All],8,FALSE)</f>
        <v>Public</v>
      </c>
      <c r="J16" s="265" t="str">
        <f>VLOOKUP(Tableau1[[#This Row],[Colonne1]],Tableau124[#All],9,FALSE)</f>
        <v>crap.medecine.secr@hnfc.fr</v>
      </c>
      <c r="K16" s="203" t="str">
        <f>VLOOKUP(Tableau1[[#This Row],[Colonne1]],Tableau124[#All],10,FALSE)</f>
        <v>03 84 98 23 50</v>
      </c>
      <c r="L16" s="264" t="str">
        <f>VLOOKUP(Tableau1[[#This Row],[Colonne1]],Tableau124[#All],11,FALSE)</f>
        <v>www.hnfc.fr</v>
      </c>
      <c r="M16" s="206" t="str">
        <f>VLOOKUP(Tableau1[[#This Row],[Colonne1]],Tableau124[#All],12,FALSE)</f>
        <v xml:space="preserve">
vendredi 13H30 à 18H sur le site de Trévenans</v>
      </c>
      <c r="N16" s="123" t="str">
        <f>VLOOKUP(Tableau1[[#This Row],[Colonne1]],Tableau124[#All],13,FALSE)</f>
        <v xml:space="preserve">Intervention auprès de public majeurs </v>
      </c>
    </row>
    <row r="17" ht="86.5" customHeight="1"/>
    <row r="18" ht="86.5" customHeight="1"/>
    <row r="19" ht="86.5" customHeight="1"/>
    <row r="20" ht="86.5" customHeight="1"/>
    <row r="21" ht="86.5" customHeight="1"/>
    <row r="22" ht="86.5" customHeight="1"/>
    <row r="23" ht="86.5" customHeight="1"/>
    <row r="24" ht="86.5" customHeight="1"/>
    <row r="25" ht="86.5" customHeight="1"/>
    <row r="26" ht="86.5" customHeight="1"/>
    <row r="27" ht="86.5" customHeight="1"/>
    <row r="28" ht="86.5" customHeight="1"/>
    <row r="29" ht="86.5" customHeight="1"/>
  </sheetData>
  <mergeCells count="1">
    <mergeCell ref="C3:O3"/>
  </mergeCells>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8">
    <tabColor rgb="FFDCC5ED"/>
  </sheetPr>
  <dimension ref="A1:N45"/>
  <sheetViews>
    <sheetView zoomScale="53" zoomScaleNormal="70" workbookViewId="0">
      <selection activeCell="A23" sqref="A23:XFD23"/>
    </sheetView>
  </sheetViews>
  <sheetFormatPr baseColWidth="10" defaultColWidth="10.54296875" defaultRowHeight="14.5"/>
  <cols>
    <col min="1" max="1" width="16.54296875" style="48" customWidth="1"/>
    <col min="2" max="2" width="5" style="1" customWidth="1"/>
    <col min="3" max="3" width="28.54296875" style="1" customWidth="1"/>
    <col min="4" max="4" width="18.453125" style="1" customWidth="1"/>
    <col min="5" max="5" width="24.1796875" style="1" customWidth="1"/>
    <col min="6" max="6" width="15.453125" style="1" customWidth="1"/>
    <col min="7" max="7" width="19.453125" style="1" customWidth="1"/>
    <col min="8" max="8" width="16.81640625" style="1" customWidth="1"/>
    <col min="9" max="9" width="14.453125" style="1" customWidth="1"/>
    <col min="10" max="10" width="26.453125" style="1" customWidth="1"/>
    <col min="11" max="12" width="21.453125" style="1" customWidth="1"/>
    <col min="13" max="13" width="27.453125" style="1" customWidth="1"/>
    <col min="14" max="14" width="48" style="1" hidden="1" customWidth="1"/>
    <col min="15" max="16384" width="10.54296875" style="1"/>
  </cols>
  <sheetData>
    <row r="1" spans="1:14" ht="56.25" customHeight="1">
      <c r="B1" s="48"/>
      <c r="C1" s="48"/>
      <c r="D1" s="48"/>
      <c r="E1" s="48"/>
      <c r="F1" s="48"/>
      <c r="G1" s="48"/>
      <c r="H1" s="48"/>
      <c r="I1" s="48"/>
      <c r="J1" s="48"/>
      <c r="K1" s="48"/>
      <c r="L1" s="48"/>
      <c r="M1" s="48"/>
    </row>
    <row r="3" spans="1:14" ht="18.5">
      <c r="C3" s="618"/>
      <c r="D3" s="618"/>
      <c r="E3" s="618"/>
      <c r="F3" s="618"/>
      <c r="G3" s="618"/>
      <c r="H3" s="618"/>
      <c r="I3" s="618"/>
      <c r="J3" s="618"/>
      <c r="K3" s="618"/>
      <c r="L3" s="618"/>
      <c r="M3" s="618"/>
      <c r="N3" s="618"/>
    </row>
    <row r="5" spans="1:14" ht="29">
      <c r="A5" s="49"/>
      <c r="B5" s="71" t="s">
        <v>1013</v>
      </c>
      <c r="C5" s="71" t="s">
        <v>19</v>
      </c>
      <c r="D5" s="71" t="s">
        <v>20</v>
      </c>
      <c r="E5" s="71" t="s">
        <v>21</v>
      </c>
      <c r="F5" s="71" t="s">
        <v>22</v>
      </c>
      <c r="G5" s="71" t="s">
        <v>23</v>
      </c>
      <c r="H5" s="71" t="s">
        <v>24</v>
      </c>
      <c r="I5" s="71" t="s">
        <v>25</v>
      </c>
      <c r="J5" s="71" t="s">
        <v>26</v>
      </c>
      <c r="K5" s="71" t="s">
        <v>27</v>
      </c>
      <c r="L5" s="71" t="s">
        <v>28</v>
      </c>
      <c r="M5" s="72" t="s">
        <v>29</v>
      </c>
    </row>
    <row r="6" spans="1:14" ht="86.5" customHeight="1">
      <c r="B6" s="139">
        <v>194</v>
      </c>
      <c r="C6" s="178" t="str">
        <f>VLOOKUP(Tableau22[[#This Row],[Colonne1]],Tableau124[#All],3,FALSE)</f>
        <v>Bavilliers</v>
      </c>
      <c r="D6" s="178" t="str">
        <f>VLOOKUP(Tableau22[[#This Row],[Colonne1]],Tableau124[#All],4,FALSE)</f>
        <v>90800</v>
      </c>
      <c r="E6" s="179" t="str">
        <f>VLOOKUP(Tableau22[[#This Row],[Colonne1]],Tableau124[#All],5,FALSE)</f>
        <v>Hôpital psychiatrique, 5 rte de Froideval</v>
      </c>
      <c r="F6" s="179" t="str">
        <f>VLOOKUP(Tableau22[[#This Row],[Colonne1]],Tableau124[#All],6,FALSE)</f>
        <v>ELSA</v>
      </c>
      <c r="G6" s="178" t="str">
        <f>VLOOKUP(Tableau22[[#This Row],[Colonne1]],Tableau124[#All],7,FALSE)</f>
        <v>AHBFC</v>
      </c>
      <c r="H6" s="178" t="str">
        <f>VLOOKUP(Tableau22[[#This Row],[Colonne1]],Tableau124[#All],8,FALSE)</f>
        <v>Associatif</v>
      </c>
      <c r="I6" s="276" t="str">
        <f>VLOOKUP(Tableau22[[#This Row],[Colonne1]],Tableau124[#All],9,FALSE)</f>
        <v>contact@ahbfc.fr</v>
      </c>
      <c r="J6" s="308" t="str">
        <f>VLOOKUP(Tableau22[[#This Row],[Colonne1]],Tableau124[#All],10,FALSE)</f>
        <v>03 84 57 45 37</v>
      </c>
      <c r="K6" s="277" t="str">
        <f>VLOOKUP(Tableau22[[#This Row],[Colonne1]],Tableau124[#All],11,FALSE)</f>
        <v>www.ahbfc.fr</v>
      </c>
      <c r="L6" s="216" t="str">
        <f>VLOOKUP(Tableau22[[#This Row],[Colonne1]],Tableau124[#All],12,FALSE)</f>
        <v xml:space="preserve"> </v>
      </c>
      <c r="M6" s="455" t="str">
        <f>VLOOKUP(Tableau22[[#This Row],[Colonne1]],Tableau124[#All],13,FALSE)</f>
        <v>- intervention auprès de public majeur ; 
- intervention en urgences HNFC, services MCO HNFC, services psychiatriques AHBFC</v>
      </c>
    </row>
    <row r="7" spans="1:14" ht="86.5" customHeight="1">
      <c r="B7" s="139">
        <v>195</v>
      </c>
      <c r="C7" s="93" t="str">
        <f>VLOOKUP(Tableau22[[#This Row],[Colonne1]],Tableau124[#All],3,FALSE)</f>
        <v>Bavilliers</v>
      </c>
      <c r="D7" s="93" t="str">
        <f>VLOOKUP(Tableau22[[#This Row],[Colonne1]],Tableau124[#All],4,FALSE)</f>
        <v>90800</v>
      </c>
      <c r="E7" s="93" t="str">
        <f>VLOOKUP(Tableau22[[#This Row],[Colonne1]],Tableau124[#All],5,FALSE)</f>
        <v>CPG
59 rue Paul Vinot
70400 Héricourt</v>
      </c>
      <c r="F7" s="93" t="str">
        <f>VLOOKUP(Tableau22[[#This Row],[Colonne1]],Tableau124[#All],6,FALSE)</f>
        <v>Sevrage simple</v>
      </c>
      <c r="G7" s="93" t="str">
        <f>VLOOKUP(Tableau22[[#This Row],[Colonne1]],Tableau124[#All],7,FALSE)</f>
        <v>AHBFC</v>
      </c>
      <c r="H7" s="93" t="str">
        <f>VLOOKUP(Tableau22[[#This Row],[Colonne1]],Tableau124[#All],8,FALSE)</f>
        <v>Associatif</v>
      </c>
      <c r="I7" s="279" t="str">
        <f>VLOOKUP(Tableau22[[#This Row],[Colonne1]],Tableau124[#All],9,FALSE)</f>
        <v>contact@ahbfc.fr</v>
      </c>
      <c r="J7" s="309" t="str">
        <f>VLOOKUP(Tableau22[[#This Row],[Colonne1]],Tableau124[#All],10,FALSE)</f>
        <v>03 84 90 89 00</v>
      </c>
      <c r="K7" s="279" t="str">
        <f>VLOOKUP(Tableau22[[#This Row],[Colonne1]],Tableau124[#All],11,FALSE)</f>
        <v>www.ahbfc.fr</v>
      </c>
      <c r="L7" s="216" t="str">
        <f>VLOOKUP(Tableau22[[#This Row],[Colonne1]],Tableau124[#All],12,FALSE)</f>
        <v xml:space="preserve"> </v>
      </c>
      <c r="M7" s="247" t="str">
        <f>VLOOKUP(Tableau22[[#This Row],[Colonne1]],Tableau124[#All],13,FALSE)</f>
        <v>- interventions auprès d'un public majeur ; 
- lits installés au sein d'une même unité ; 
- unité de CPG Héricourt, 3ème étage</v>
      </c>
    </row>
    <row r="8" spans="1:14" ht="86.5" customHeight="1">
      <c r="B8" s="139">
        <v>198</v>
      </c>
      <c r="C8" s="104" t="str">
        <f>VLOOKUP(Tableau22[[#This Row],[Colonne1]],Tableau124[#All],3,FALSE)</f>
        <v>Belfort</v>
      </c>
      <c r="D8" s="104">
        <f>VLOOKUP(Tableau22[[#This Row],[Colonne1]],Tableau124[#All],4,FALSE)</f>
        <v>90000</v>
      </c>
      <c r="E8" s="104" t="str">
        <f>VLOOKUP(Tableau22[[#This Row],[Colonne1]],Tableau124[#All],5,FALSE)</f>
        <v>CMP Adultes, 53 Bd  Renaud de Bourgogne</v>
      </c>
      <c r="F8" s="104" t="str">
        <f>VLOOKUP(Tableau22[[#This Row],[Colonne1]],Tableau124[#All],6,FALSE)</f>
        <v>Consultations Hospitalières externes d'addictologie</v>
      </c>
      <c r="G8" s="104" t="str">
        <f>VLOOKUP(Tableau22[[#This Row],[Colonne1]],Tableau124[#All],7,FALSE)</f>
        <v>AHBFC</v>
      </c>
      <c r="H8" s="104" t="str">
        <f>VLOOKUP(Tableau22[[#This Row],[Colonne1]],Tableau124[#All],8,FALSE)</f>
        <v>Associatif</v>
      </c>
      <c r="I8" s="264" t="str">
        <f>VLOOKUP(Tableau22[[#This Row],[Colonne1]],Tableau124[#All],9,FALSE)</f>
        <v>contact@ahbfc.fr</v>
      </c>
      <c r="J8" s="200" t="str">
        <f>VLOOKUP(Tableau22[[#This Row],[Colonne1]],Tableau124[#All],10,FALSE)</f>
        <v>03 84 57 45 37</v>
      </c>
      <c r="K8" s="264" t="str">
        <f>VLOOKUP(Tableau22[[#This Row],[Colonne1]],Tableau124[#All],11,FALSE)</f>
        <v>www.ahbfc.fr</v>
      </c>
      <c r="L8" s="122" t="str">
        <f>VLOOKUP(Tableau22[[#This Row],[Colonne1]],Tableau124[#All],12,FALSE)</f>
        <v>du lundi au vendredi après-midi (14h-17h), sur rendez-vous.</v>
      </c>
      <c r="M8" s="122" t="str">
        <f>VLOOKUP(Tableau22[[#This Row],[Colonne1]],Tableau124[#All],13,FALSE)</f>
        <v>Intervention auprès de public majeurs</v>
      </c>
    </row>
    <row r="9" spans="1:14" ht="86.5" customHeight="1">
      <c r="B9" s="139">
        <v>199</v>
      </c>
      <c r="C9" s="181" t="str">
        <f>VLOOKUP(Tableau22[[#This Row],[Colonne1]],Tableau124[#All],3,FALSE)</f>
        <v>Belfort</v>
      </c>
      <c r="D9" s="181">
        <f>VLOOKUP(Tableau22[[#This Row],[Colonne1]],Tableau124[#All],4,FALSE)</f>
        <v>90000</v>
      </c>
      <c r="E9" s="104" t="str">
        <f>VLOOKUP(Tableau22[[#This Row],[Colonne1]],Tableau124[#All],5,FALSE)</f>
        <v>CMP, 2 Av. des Usines</v>
      </c>
      <c r="F9" s="181" t="str">
        <f>VLOOKUP(Tableau22[[#This Row],[Colonne1]],Tableau124[#All],6,FALSE)</f>
        <v>Consultations Hospitalières externes d'addictologie (autre lieu d'intervention)</v>
      </c>
      <c r="G9" s="181" t="str">
        <f>VLOOKUP(Tableau22[[#This Row],[Colonne1]],Tableau124[#All],7,FALSE)</f>
        <v>CMP (AHBFC)</v>
      </c>
      <c r="H9" s="181" t="str">
        <f>VLOOKUP(Tableau22[[#This Row],[Colonne1]],Tableau124[#All],8,FALSE)</f>
        <v>Associatif</v>
      </c>
      <c r="I9" s="265" t="str">
        <f>VLOOKUP(Tableau22[[#This Row],[Colonne1]],Tableau124[#All],9,FALSE)</f>
        <v>contact@ahbfc.fr</v>
      </c>
      <c r="J9" s="203" t="str">
        <f>VLOOKUP(Tableau22[[#This Row],[Colonne1]],Tableau124[#All],10,FALSE)</f>
        <v>03 84 68 25 00</v>
      </c>
      <c r="K9" s="264" t="str">
        <f>VLOOKUP(Tableau22[[#This Row],[Colonne1]],Tableau124[#All],11,FALSE)</f>
        <v>www.ahbfc.fr</v>
      </c>
      <c r="L9" s="206" t="str">
        <f>VLOOKUP(Tableau22[[#This Row],[Colonne1]],Tableau124[#All],12,FALSE)</f>
        <v>du lundi au vendredi 14h-17h</v>
      </c>
      <c r="M9" s="123" t="str">
        <f>VLOOKUP(Tableau22[[#This Row],[Colonne1]],Tableau124[#All],13,FALSE)</f>
        <v xml:space="preserve">Intervention auprès de public majeurs </v>
      </c>
    </row>
    <row r="10" spans="1:14" ht="86.5" customHeight="1">
      <c r="B10" s="139">
        <v>201</v>
      </c>
      <c r="C10" s="135" t="str">
        <f>VLOOKUP(Tableau22[[#This Row],[Colonne1]],Tableau124[#All],3,FALSE)</f>
        <v>Belfort</v>
      </c>
      <c r="D10" s="135" t="str">
        <f>VLOOKUP(Tableau22[[#This Row],[Colonne1]],Tableau124[#All],4,FALSE)</f>
        <v>90000</v>
      </c>
      <c r="E10" s="135" t="str">
        <f>VLOOKUP(Tableau22[[#This Row],[Colonne1]],Tableau124[#All],5,FALSE)</f>
        <v>6 Rue du Rhône</v>
      </c>
      <c r="F10" s="135" t="str">
        <f>VLOOKUP(Tableau22[[#This Row],[Colonne1]],Tableau124[#All],6,FALSE)</f>
        <v>CSAPA</v>
      </c>
      <c r="G10" s="135" t="str">
        <f>VLOOKUP(Tableau22[[#This Row],[Colonne1]],Tableau124[#All],7,FALSE)</f>
        <v>CSAPA de Belfort - Association Addictions France
CSAPA Le Relais Equinoxe - Association d'Hygiène Sociale de Franche Comté</v>
      </c>
      <c r="H10" s="135" t="str">
        <f>VLOOKUP(Tableau22[[#This Row],[Colonne1]],Tableau124[#All],8,FALSE)</f>
        <v>Associatif</v>
      </c>
      <c r="I10" s="268" t="str">
        <f>VLOOKUP(Tableau22[[#This Row],[Colonne1]],Tableau124[#All],9,FALSE)</f>
        <v>csapa.belfort@addictions-france.org
pole-addictologie.nfc@ahs-fc.fr</v>
      </c>
      <c r="J10" s="205" t="str">
        <f>VLOOKUP(Tableau22[[#This Row],[Colonne1]],Tableau124[#All],10,FALSE)</f>
        <v>03.84.22.31.39
03 84 21 76 02</v>
      </c>
      <c r="K10" s="269" t="str">
        <f>VLOOKUP(Tableau22[[#This Row],[Colonne1]],Tableau124[#All],11,FALSE)</f>
        <v>www.addictions-france.org
www.ahs-fc.fr</v>
      </c>
      <c r="L10" s="100" t="str">
        <f>VLOOKUP(Tableau22[[#This Row],[Colonne1]],Tableau124[#All],12,FALSE)</f>
        <v>Du Lundi au Jeudi 09H-17H
Le vendredi 09H - 16H
Et CJC le mercredi de 14H à 17H (salle du rez de Chaussée)</v>
      </c>
      <c r="M10" s="241" t="str">
        <f>VLOOKUP(Tableau22[[#This Row],[Colonne1]],Tableau124[#All],13,FALSE)</f>
        <v>- Réalisation de consultations avancées sur Trevenans ;
- intervention en milieu festif ;
- Intervention en milieu pénitentiaire à la maison d'arrêt de Belfort ;
- proposition de test rapide d'orientation diagnostic (TROD) ; 
- présence d'une CJC.</v>
      </c>
    </row>
    <row r="11" spans="1:14" ht="86.5" customHeight="1">
      <c r="B11" s="139">
        <v>197</v>
      </c>
      <c r="C11" s="180" t="str">
        <f>VLOOKUP(Tableau22[[#This Row],[Colonne1]],Tableau124[#All],3,FALSE)</f>
        <v>Belfort</v>
      </c>
      <c r="D11" s="180">
        <f>VLOOKUP(Tableau22[[#This Row],[Colonne1]],Tableau124[#All],4,FALSE)</f>
        <v>90000</v>
      </c>
      <c r="E11" s="180" t="str">
        <f>VLOOKUP(Tableau22[[#This Row],[Colonne1]],Tableau124[#All],5,FALSE)</f>
        <v>6 rue du rhône</v>
      </c>
      <c r="F11" s="180" t="str">
        <f>VLOOKUP(Tableau22[[#This Row],[Colonne1]],Tableau124[#All],6,FALSE)</f>
        <v>CJC</v>
      </c>
      <c r="G11" s="180" t="str">
        <f>VLOOKUP(Tableau22[[#This Row],[Colonne1]],Tableau124[#All],7,FALSE)</f>
        <v>CSAPA Le Relais Equinoxe - Association d'Hygiène Sociale de Franche Comté</v>
      </c>
      <c r="H11" s="180" t="str">
        <f>VLOOKUP(Tableau22[[#This Row],[Colonne1]],Tableau124[#All],8,FALSE)</f>
        <v>Associatif</v>
      </c>
      <c r="I11" s="306" t="str">
        <f>VLOOKUP(Tableau22[[#This Row],[Colonne1]],Tableau124[#All],9,FALSE)</f>
        <v xml:space="preserve">pole-addictologie.nfc@afs-fc.fr </v>
      </c>
      <c r="J11" s="207" t="str">
        <f>VLOOKUP(Tableau22[[#This Row],[Colonne1]],Tableau124[#All],10,FALSE)</f>
        <v>03.84.21.76.02</v>
      </c>
      <c r="K11" s="305" t="str">
        <f>VLOOKUP(Tableau22[[#This Row],[Colonne1]],Tableau124[#All],11,FALSE)</f>
        <v>www.ahs-fc.fr</v>
      </c>
      <c r="L11" s="222" t="str">
        <f>VLOOKUP(Tableau22[[#This Row],[Colonne1]],Tableau124[#All],12,FALSE)</f>
        <v>mercredi 14H - 17H</v>
      </c>
      <c r="M11" s="234" t="str">
        <f>VLOOKUP(Tableau22[[#This Row],[Colonne1]],Tableau124[#All],13,FALSE)</f>
        <v xml:space="preserve">- Accueil des familles ; 
- Orientation avec et sans rendez-vous ;
- CJC accessible à la famille et l'entourage ; </v>
      </c>
    </row>
    <row r="12" spans="1:14" ht="86.5" customHeight="1">
      <c r="B12" s="139">
        <v>200</v>
      </c>
      <c r="C12" s="104" t="str">
        <f>VLOOKUP(Tableau22[[#This Row],[Colonne1]],Tableau124[#All],3,FALSE)</f>
        <v>Belfort</v>
      </c>
      <c r="D12" s="104">
        <f>VLOOKUP(Tableau22[[#This Row],[Colonne1]],Tableau124[#All],4,FALSE)</f>
        <v>90000</v>
      </c>
      <c r="E12" s="104" t="str">
        <f>VLOOKUP(Tableau22[[#This Row],[Colonne1]],Tableau124[#All],5,FALSE)</f>
        <v>5 Rue Jacqueline Auriol</v>
      </c>
      <c r="F12" s="104" t="str">
        <f>VLOOKUP(Tableau22[[#This Row],[Colonne1]],Tableau124[#All],6,FALSE)</f>
        <v>Consultations Hospitalières externes d'addictologie (autre lieu d'intervention)</v>
      </c>
      <c r="G12" s="104" t="str">
        <f>VLOOKUP(Tableau22[[#This Row],[Colonne1]],Tableau124[#All],7,FALSE)</f>
        <v>HNFC consultations Tech'nom (Hôpital Nord Franche-Comté)</v>
      </c>
      <c r="H12" s="104" t="str">
        <f>VLOOKUP(Tableau22[[#This Row],[Colonne1]],Tableau124[#All],8,FALSE)</f>
        <v>Public</v>
      </c>
      <c r="I12" s="265" t="str">
        <f>VLOOKUP(Tableau22[[#This Row],[Colonne1]],Tableau124[#All],9,FALSE)</f>
        <v>crap.medecine.secr@hnfc.fr</v>
      </c>
      <c r="J12" s="203" t="str">
        <f>VLOOKUP(Tableau22[[#This Row],[Colonne1]],Tableau124[#All],10,FALSE)</f>
        <v>03 84 98 23 50</v>
      </c>
      <c r="K12" s="264" t="str">
        <f>VLOOKUP(Tableau22[[#This Row],[Colonne1]],Tableau124[#All],11,FALSE)</f>
        <v>www.hnfc.fr</v>
      </c>
      <c r="L12" s="206" t="str">
        <f>VLOOKUP(Tableau22[[#This Row],[Colonne1]],Tableau124[#All],12,FALSE)</f>
        <v xml:space="preserve"> lundi de 8H30 à 12 H</v>
      </c>
      <c r="M12" s="123" t="str">
        <f>VLOOKUP(Tableau22[[#This Row],[Colonne1]],Tableau124[#All],13,FALSE)</f>
        <v>Intervention auprès de public majeurs ainsi qu'à l'Hôpital Nord Franche-Comté</v>
      </c>
    </row>
    <row r="13" spans="1:14" ht="86.5" customHeight="1">
      <c r="B13" s="147">
        <v>203</v>
      </c>
      <c r="C13" s="172" t="str">
        <f>VLOOKUP(Tableau22[[#This Row],[Colonne1]],Tableau124[#All],3,FALSE)</f>
        <v xml:space="preserve">Belfort </v>
      </c>
      <c r="D13" s="172">
        <f>VLOOKUP(Tableau22[[#This Row],[Colonne1]],Tableau124[#All],4,FALSE)</f>
        <v>90000</v>
      </c>
      <c r="E13" s="172" t="str">
        <f>VLOOKUP(Tableau22[[#This Row],[Colonne1]],Tableau124[#All],5,FALSE)</f>
        <v>4 rue Georges Koechlin</v>
      </c>
      <c r="F13" s="172" t="str">
        <f>VLOOKUP(Tableau22[[#This Row],[Colonne1]],Tableau124[#All],6,FALSE)</f>
        <v>CAARUD</v>
      </c>
      <c r="G13" s="172" t="str">
        <f>VLOOKUP(Tableau22[[#This Row],[Colonne1]],Tableau124[#All],7,FALSE)</f>
        <v>CAARUD ENTR'ACTES - Association d'Hygiène Sociale de Franche Comté</v>
      </c>
      <c r="H13" s="172" t="str">
        <f>VLOOKUP(Tableau22[[#This Row],[Colonne1]],Tableau124[#All],8,FALSE)</f>
        <v>Associatif</v>
      </c>
      <c r="I13" s="357" t="str">
        <f>VLOOKUP(Tableau22[[#This Row],[Colonne1]],Tableau124[#All],9,FALSE)</f>
        <v>pole-addictologie.nfc@ahs-fc.fr</v>
      </c>
      <c r="J13" s="210" t="str">
        <f>VLOOKUP(Tableau22[[#This Row],[Colonne1]],Tableau124[#All],10,FALSE)</f>
        <v>03.84.26.12.20
Unité Mobile : 06 85 11 08 91</v>
      </c>
      <c r="K13" s="365" t="str">
        <f>VLOOKUP(Tableau22[[#This Row],[Colonne1]],Tableau124[#All],11,FALSE)</f>
        <v>www.ahs-fc.fr</v>
      </c>
      <c r="L13" s="172" t="str">
        <f>VLOOKUP(Tableau22[[#This Row],[Colonne1]],Tableau124[#All],12,FALSE)</f>
        <v>Belfort : 
mardi et vendredi de 11h à 16h</v>
      </c>
      <c r="M13" s="364" t="str">
        <f>VLOOKUP(Tableau22[[#This Row],[Colonne1]],Tableau124[#All],13,FALSE)</f>
        <v>- unité mobile K-mobile pouvant servir de lieu d'accueil (déplacements sur tout le territoire Nord-Franche-Comté) ; 
- programme d'échange de seringues ;
- interventions ponctuelles en maraude ; 
- intervention en milieu festif ;</v>
      </c>
    </row>
    <row r="14" spans="1:14" ht="86.5" customHeight="1">
      <c r="B14" s="139">
        <v>204</v>
      </c>
      <c r="C14" s="100" t="str">
        <f>VLOOKUP(Tableau22[[#This Row],[Colonne1]],Tableau124[#All],3,FALSE)</f>
        <v>Delle</v>
      </c>
      <c r="D14" s="100">
        <f>VLOOKUP(Tableau22[[#This Row],[Colonne1]],Tableau124[#All],4,FALSE)</f>
        <v>90100</v>
      </c>
      <c r="E14" s="96" t="str">
        <f>VLOOKUP(Tableau22[[#This Row],[Colonne1]],Tableau124[#All],5,FALSE)</f>
        <v>Comité Inter-Entreprise
2 Rue Eugène Claret</v>
      </c>
      <c r="F14" s="100" t="str">
        <f>VLOOKUP(Tableau22[[#This Row],[Colonne1]],Tableau124[#All],6,FALSE)</f>
        <v>CSAPA (consultations avancées)</v>
      </c>
      <c r="G14" s="100" t="str">
        <f>VLOOKUP(Tableau22[[#This Row],[Colonne1]],Tableau124[#All],7,FALSE)</f>
        <v>CSAPA Le Relais Equinoxe - Association d'Hygiène Sociale de Franche Comté - consultations avancées</v>
      </c>
      <c r="H14" s="100" t="str">
        <f>VLOOKUP(Tableau22[[#This Row],[Colonne1]],Tableau124[#All],8,FALSE)</f>
        <v>Associatif</v>
      </c>
      <c r="I14" s="452" t="str">
        <f>VLOOKUP(Tableau22[[#This Row],[Colonne1]],Tableau124[#All],9,FALSE)</f>
        <v xml:space="preserve">pole-addictologie.nfc@afs-fc.fr </v>
      </c>
      <c r="J14" s="205" t="str">
        <f>VLOOKUP(Tableau22[[#This Row],[Colonne1]],Tableau124[#All],10,FALSE)</f>
        <v>03-84-21-76-02</v>
      </c>
      <c r="K14" s="361" t="str">
        <f>VLOOKUP(Tableau22[[#This Row],[Colonne1]],Tableau124[#All],11,FALSE)</f>
        <v>www.ahs-fc.fr</v>
      </c>
      <c r="L14" s="100" t="str">
        <f>VLOOKUP(Tableau22[[#This Row],[Colonne1]],Tableau124[#All],12,FALSE)</f>
        <v>09H – 16H un jeudi sur deux</v>
      </c>
      <c r="M14" s="220" t="str">
        <f>VLOOKUP(Tableau22[[#This Row],[Colonne1]],Tableau124[#All],13,FALSE)</f>
        <v>Réalisation de consultations avancées</v>
      </c>
    </row>
    <row r="15" spans="1:14" ht="86.5" customHeight="1">
      <c r="B15" s="139">
        <v>91</v>
      </c>
      <c r="C15" s="122" t="str">
        <f>VLOOKUP(Tableau22[[#This Row],[Colonne1]],Tableau124[#All],3,FALSE)</f>
        <v>Héricourt</v>
      </c>
      <c r="D15" s="122">
        <f>VLOOKUP(Tableau22[[#This Row],[Colonne1]],Tableau124[#All],4,FALSE)</f>
        <v>70400</v>
      </c>
      <c r="E15" s="122" t="str">
        <f>VLOOKUP(Tableau22[[#This Row],[Colonne1]],Tableau124[#All],5,FALSE)</f>
        <v>Association Hospitalière de Bourgogne-Franche-Comté, 9 rue martin Niemöller</v>
      </c>
      <c r="F15" s="122" t="str">
        <f>VLOOKUP(Tableau22[[#This Row],[Colonne1]],Tableau124[#All],6,FALSE)</f>
        <v>Consultations Hospitalières externes d'addictologie</v>
      </c>
      <c r="G15" s="122" t="str">
        <f>VLOOKUP(Tableau22[[#This Row],[Colonne1]],Tableau124[#All],7,FALSE)</f>
        <v>AHBFC</v>
      </c>
      <c r="H15" s="122" t="str">
        <f>VLOOKUP(Tableau22[[#This Row],[Colonne1]],Tableau124[#All],8,FALSE)</f>
        <v>Associatif</v>
      </c>
      <c r="I15" s="265" t="str">
        <f>VLOOKUP(Tableau22[[#This Row],[Colonne1]],Tableau124[#All],9,FALSE)</f>
        <v>contact@ahbfc.fr</v>
      </c>
      <c r="J15" s="203" t="str">
        <f>VLOOKUP(Tableau22[[#This Row],[Colonne1]],Tableau124[#All],10,FALSE)</f>
        <v xml:space="preserve">03 81 90 76 10 </v>
      </c>
      <c r="K15" s="264" t="str">
        <f>VLOOKUP(Tableau22[[#This Row],[Colonne1]],Tableau124[#All],11,FALSE)</f>
        <v>www.ahbfc.fr</v>
      </c>
      <c r="L15" s="206" t="str">
        <f>VLOOKUP(Tableau22[[#This Row],[Colonne1]],Tableau124[#All],12,FALSE)</f>
        <v>du lundi au vendredi après-midi (14h-17h), sur rendez-vous.</v>
      </c>
      <c r="M15" s="123" t="str">
        <f>VLOOKUP(Tableau22[[#This Row],[Colonne1]],Tableau124[#All],13,FALSE)</f>
        <v>Intervention auprès de public majeurs</v>
      </c>
    </row>
    <row r="16" spans="1:14" ht="86.5" customHeight="1">
      <c r="B16" s="139">
        <v>90</v>
      </c>
      <c r="C16" s="100" t="str">
        <f>VLOOKUP(Tableau22[[#This Row],[Colonne1]],Tableau124[#All],3,FALSE)</f>
        <v>Héricourt</v>
      </c>
      <c r="D16" s="100">
        <f>VLOOKUP(Tableau22[[#This Row],[Colonne1]],Tableau124[#All],4,FALSE)</f>
        <v>70400</v>
      </c>
      <c r="E16" s="100" t="str">
        <f>VLOOKUP(Tableau22[[#This Row],[Colonne1]],Tableau124[#All],5,FALSE)</f>
        <v>25 avenue Léon Jouhaux, BP 6</v>
      </c>
      <c r="F16" s="186" t="str">
        <f>VLOOKUP(Tableau22[[#This Row],[Colonne1]],Tableau124[#All],6,FALSE)</f>
        <v>Antenne CSAPA</v>
      </c>
      <c r="G16" s="186" t="str">
        <f>VLOOKUP(Tableau22[[#This Row],[Colonne1]],Tableau124[#All],7,FALSE)</f>
        <v>CSAPA Le Relais Equinoxe - Association d'Hygiène Sociale de Franche Comté</v>
      </c>
      <c r="H16" s="186" t="str">
        <f>VLOOKUP(Tableau22[[#This Row],[Colonne1]],Tableau124[#All],8,FALSE)</f>
        <v>Associatif</v>
      </c>
      <c r="I16" s="268" t="str">
        <f>VLOOKUP(Tableau22[[#This Row],[Colonne1]],Tableau124[#All],9,FALSE)</f>
        <v>pole-addictologie.nfc@ahs-fc.fr</v>
      </c>
      <c r="J16" s="205" t="str">
        <f>VLOOKUP(Tableau22[[#This Row],[Colonne1]],Tableau124[#All],10,FALSE)</f>
        <v>03 84 36 67 07</v>
      </c>
      <c r="K16" s="269" t="str">
        <f>VLOOKUP(Tableau22[[#This Row],[Colonne1]],Tableau124[#All],11,FALSE)</f>
        <v>www.ahs-fc.fr</v>
      </c>
      <c r="L16" s="100" t="str">
        <f>VLOOKUP(Tableau22[[#This Row],[Colonne1]],Tableau124[#All],12,FALSE)</f>
        <v>Lundi au jeudi de 9h à 16h 
Vendredi : 9h-13h30 et 14h30-16h</v>
      </c>
      <c r="M16" s="134" t="str">
        <f>VLOOKUP(Tableau22[[#This Row],[Colonne1]],Tableau124[#All],13,FALSE)</f>
        <v xml:space="preserve"> </v>
      </c>
    </row>
    <row r="17" spans="2:13" ht="86.5" customHeight="1">
      <c r="B17" s="147">
        <v>128</v>
      </c>
      <c r="C17" s="172" t="str">
        <f>VLOOKUP(Tableau22[[#This Row],[Colonne1]],Tableau124[#All],3,FALSE)</f>
        <v>Lons Le Saunier</v>
      </c>
      <c r="D17" s="172" t="str">
        <f>VLOOKUP(Tableau22[[#This Row],[Colonne1]],Tableau124[#All],4,FALSE)</f>
        <v>39000</v>
      </c>
      <c r="E17" s="172" t="str">
        <f>VLOOKUP(Tableau22[[#This Row],[Colonne1]],Tableau124[#All],5,FALSE)</f>
        <v>8 rue Jules Bury</v>
      </c>
      <c r="F17" s="172" t="str">
        <f>VLOOKUP(Tableau22[[#This Row],[Colonne1]],Tableau124[#All],6,FALSE)</f>
        <v>CAARUD de réduction des risques et des dommages à distance</v>
      </c>
      <c r="G17" s="172" t="str">
        <f>VLOOKUP(Tableau22[[#This Row],[Colonne1]],Tableau124[#All],7,FALSE)</f>
        <v>CAARUD Oppelia Passerelle 39</v>
      </c>
      <c r="H17" s="172" t="str">
        <f>VLOOKUP(Tableau22[[#This Row],[Colonne1]],Tableau124[#All],8,FALSE)</f>
        <v>Associatif</v>
      </c>
      <c r="I17" s="357" t="str">
        <f>VLOOKUP(Tableau22[[#This Row],[Colonne1]],Tableau124[#All],9,FALSE)</f>
        <v>contactp39@oppelia.fr</v>
      </c>
      <c r="J17" s="210" t="str">
        <f>VLOOKUP(Tableau22[[#This Row],[Colonne1]],Tableau124[#All],10,FALSE)</f>
        <v>03 84 24 66 83</v>
      </c>
      <c r="K17" s="363" t="str">
        <f>VLOOKUP(Tableau22[[#This Row],[Colonne1]],Tableau124[#All],11,FALSE)</f>
        <v>https://www.oppelia.fr/etablissement/passerelle-39-lons-le-saunier/</v>
      </c>
      <c r="L17" s="221" t="str">
        <f>VLOOKUP(Tableau22[[#This Row],[Colonne1]],Tableau124[#All],12,FALSE)</f>
        <v>Accueil fixe: mardi de 13h30 à 17h00, mercredi de 8h00 à 12h30, jeudi de 16h30 à 20h00</v>
      </c>
      <c r="M17" s="364" t="str">
        <f>VLOOKUP(Tableau22[[#This Row],[Colonne1]],Tableau124[#All],13,FALSE)</f>
        <v>- Permanences d'accueil ou accueil sur rendez-vous
- unité mobile pouvant servir de lieu d'accueil (déplacements sur tout le département du Jura) ; 
- programme d'échange de seringues ;
- intervention en maraude ; 
- mise à disposition de matériel de consommation à moindre risque ;
- proposition de test rapide d'orientation diagnostic (TROD) ; 
- dispositif TAPAJ
- intervention en milieu festif ;
- intervention en milieu pénitentier à la Maison d'arrêt de Lons-le-Saunier.</v>
      </c>
    </row>
    <row r="18" spans="2:13" ht="86.5" customHeight="1">
      <c r="B18" s="139">
        <v>67</v>
      </c>
      <c r="C18" s="104" t="str">
        <f>VLOOKUP(Tableau22[[#This Row],[Colonne1]],Tableau124[#All],3,FALSE)</f>
        <v>Montbéliard</v>
      </c>
      <c r="D18" s="104">
        <f>VLOOKUP(Tableau22[[#This Row],[Colonne1]],Tableau124[#All],4,FALSE)</f>
        <v>25200</v>
      </c>
      <c r="E18" s="104" t="str">
        <f>VLOOKUP(Tableau22[[#This Row],[Colonne1]],Tableau124[#All],5,FALSE)</f>
        <v>CMP Adultes, 9 avenue Léon Blum</v>
      </c>
      <c r="F18" s="104" t="str">
        <f>VLOOKUP(Tableau22[[#This Row],[Colonne1]],Tableau124[#All],6,FALSE)</f>
        <v>Consultations Hospitalières externes d'addictologie</v>
      </c>
      <c r="G18" s="104" t="str">
        <f>VLOOKUP(Tableau22[[#This Row],[Colonne1]],Tableau124[#All],7,FALSE)</f>
        <v>AHBFC</v>
      </c>
      <c r="H18" s="104" t="str">
        <f>VLOOKUP(Tableau22[[#This Row],[Colonne1]],Tableau124[#All],8,FALSE)</f>
        <v>Associatif</v>
      </c>
      <c r="I18" s="265" t="str">
        <f>VLOOKUP(Tableau22[[#This Row],[Colonne1]],Tableau124[#All],9,FALSE)</f>
        <v>contact@ahbfc.fr</v>
      </c>
      <c r="J18" s="203" t="str">
        <f>VLOOKUP(Tableau22[[#This Row],[Colonne1]],Tableau124[#All],10,FALSE)</f>
        <v>03 81 90 76 10</v>
      </c>
      <c r="K18" s="264" t="str">
        <f>VLOOKUP(Tableau22[[#This Row],[Colonne1]],Tableau124[#All],11,FALSE)</f>
        <v>www.ahbfc.fr</v>
      </c>
      <c r="L18" s="206" t="str">
        <f>VLOOKUP(Tableau22[[#This Row],[Colonne1]],Tableau124[#All],12,FALSE)</f>
        <v>du lundi au vendredi après-midi (14h-17h), sur rendez-vous.</v>
      </c>
      <c r="M18" s="123" t="str">
        <f>VLOOKUP(Tableau22[[#This Row],[Colonne1]],Tableau124[#All],13,FALSE)</f>
        <v>Intervention auprès de public majeurs</v>
      </c>
    </row>
    <row r="19" spans="2:13" ht="86.5" customHeight="1">
      <c r="B19" s="157">
        <v>66</v>
      </c>
      <c r="C19" s="171" t="str">
        <f>VLOOKUP(Tableau22[[#This Row],[Colonne1]],Tableau124[#All],3,FALSE)</f>
        <v>Montbéliard</v>
      </c>
      <c r="D19" s="171" t="str">
        <f>VLOOKUP(Tableau22[[#This Row],[Colonne1]],Tableau124[#All],4,FALSE)</f>
        <v>25200</v>
      </c>
      <c r="E19" s="171" t="str">
        <f>VLOOKUP(Tableau22[[#This Row],[Colonne1]],Tableau124[#All],5,FALSE)</f>
        <v>30 Fbg de Besançon</v>
      </c>
      <c r="F19" s="171" t="str">
        <f>VLOOKUP(Tableau22[[#This Row],[Colonne1]],Tableau124[#All],6,FALSE)</f>
        <v>CAARUD</v>
      </c>
      <c r="G19" s="171" t="str">
        <f>VLOOKUP(Tableau22[[#This Row],[Colonne1]],Tableau124[#All],7,FALSE)</f>
        <v>CAARUD ENTR'ACTES - Association d'Hygiène Sociale de Franche Comté</v>
      </c>
      <c r="H19" s="171" t="str">
        <f>VLOOKUP(Tableau22[[#This Row],[Colonne1]],Tableau124[#All],8,FALSE)</f>
        <v>Associatif</v>
      </c>
      <c r="I19" s="300" t="str">
        <f>VLOOKUP(Tableau22[[#This Row],[Colonne1]],Tableau124[#All],9,FALSE)</f>
        <v>pole-addictologie.nfc@ahs-fc.fr</v>
      </c>
      <c r="J19" s="201" t="str">
        <f>VLOOKUP(Tableau22[[#This Row],[Colonne1]],Tableau124[#All],10,FALSE)</f>
        <v>03.81.31.29.41
Unité Mobile : 06 85 11 08 91</v>
      </c>
      <c r="K19" s="297" t="str">
        <f>VLOOKUP(Tableau22[[#This Row],[Colonne1]],Tableau124[#All],11,FALSE)</f>
        <v>www.ahs-fc.fr</v>
      </c>
      <c r="L19" s="172" t="str">
        <f>VLOOKUP(Tableau22[[#This Row],[Colonne1]],Tableau124[#All],12,FALSE)</f>
        <v>Montbéliard :
lundi et jeudi de 10h à 15h</v>
      </c>
      <c r="M19" s="239" t="str">
        <f>VLOOKUP(Tableau22[[#This Row],[Colonne1]],Tableau124[#All],13,FALSE)</f>
        <v>- unité mobile pouvant servir de lieu d'accueil (déplacements sur tout le territoire Nord-Franche-Comté) ; 
- programme d'échange de seringues ;
- interventions ponctuelles en maraude ; 
- intervention en milieu festif ;
L’unité Mobile est rattachée au CAARUD : kmobile.nfc@ahs-fc.fr, kmobile.nfc@ahs-fc.fr, 06-85-11-08-91 (Semaine impaire ; mardi, mercred et jeudi
Semaine paire : mercredi, jeudi 
10h-16h)</v>
      </c>
    </row>
    <row r="20" spans="2:13" ht="86.5" customHeight="1">
      <c r="B20" s="157">
        <v>68</v>
      </c>
      <c r="C20" s="135" t="str">
        <f>VLOOKUP(Tableau22[[#This Row],[Colonne1]],Tableau124[#All],3,FALSE)</f>
        <v>Montbéliard</v>
      </c>
      <c r="D20" s="135" t="str">
        <f>VLOOKUP(Tableau22[[#This Row],[Colonne1]],Tableau124[#All],4,FALSE)</f>
        <v>25200</v>
      </c>
      <c r="E20" s="135" t="str">
        <f>VLOOKUP(Tableau22[[#This Row],[Colonne1]],Tableau124[#All],5,FALSE)</f>
        <v>40 Fbg de Besançon</v>
      </c>
      <c r="F20" s="135" t="str">
        <f>VLOOKUP(Tableau22[[#This Row],[Colonne1]],Tableau124[#All],6,FALSE)</f>
        <v>CSAPA</v>
      </c>
      <c r="G20" s="135" t="str">
        <f>VLOOKUP(Tableau22[[#This Row],[Colonne1]],Tableau124[#All],7,FALSE)</f>
        <v>CSAPA Le Relais Equinoxe - Association d'Hygiène Sociale de Franche Comté</v>
      </c>
      <c r="H20" s="135" t="str">
        <f>VLOOKUP(Tableau22[[#This Row],[Colonne1]],Tableau124[#All],8,FALSE)</f>
        <v>Associatif</v>
      </c>
      <c r="I20" s="272" t="str">
        <f>VLOOKUP(Tableau22[[#This Row],[Colonne1]],Tableau124[#All],9,FALSE)</f>
        <v>pole-addictologie.nfc@ahs-fc.fr</v>
      </c>
      <c r="J20" s="453" t="str">
        <f>VLOOKUP(Tableau22[[#This Row],[Colonne1]],Tableau124[#All],10,FALSE)</f>
        <v>03-81-91-09-22/
03-81-99-37-04</v>
      </c>
      <c r="K20" s="269" t="str">
        <f>VLOOKUP(Tableau22[[#This Row],[Colonne1]],Tableau124[#All],11,FALSE)</f>
        <v>www.ahs-fc.fr</v>
      </c>
      <c r="L20" s="454" t="str">
        <f>VLOOKUP(Tableau22[[#This Row],[Colonne1]],Tableau124[#All],12,FALSE)</f>
        <v>lundi : 11h - 17h
du mardi au vendredi : 9h - 17h
Consultations Jeunes Consommateurs : Samedi 9h-12h sur RV et sur les horaires du Csapa</v>
      </c>
      <c r="M20" s="456" t="str">
        <f>VLOOKUP(Tableau22[[#This Row],[Colonne1]],Tableau124[#All],13,FALSE)</f>
        <v>- Réalisation de consultations avancées sur Pont de Roide, Isle sur le Doubs, Delle et Ornans ;
- intervention en milieu pénitentiaire à la maison d'arrêt de Belfort et de Montébliard ;
- mise à disposition de matériel de consommation à moindre risque ;
- proposition de test rapide d'orientation diagnostic (TROD) ; 
- dispositifs anti-overdose à disposition ; 
- présence d'une CJC.</v>
      </c>
    </row>
    <row r="21" spans="2:13" ht="86.5" customHeight="1">
      <c r="B21" s="157">
        <v>206</v>
      </c>
      <c r="C21" s="96" t="str">
        <f>VLOOKUP(Tableau22[[#This Row],[Colonne1]],Tableau124[#All],3,FALSE)</f>
        <v>Trévenans</v>
      </c>
      <c r="D21" s="96">
        <f>VLOOKUP(Tableau22[[#This Row],[Colonne1]],Tableau124[#All],4,FALSE)</f>
        <v>90400</v>
      </c>
      <c r="E21" s="96" t="str">
        <f>VLOOKUP(Tableau22[[#This Row],[Colonne1]],Tableau124[#All],5,FALSE)</f>
        <v>Hôpital Nord Franche-Comté, 100 route de Moval</v>
      </c>
      <c r="F21" s="96" t="str">
        <f>VLOOKUP(Tableau22[[#This Row],[Colonne1]],Tableau124[#All],6,FALSE)</f>
        <v>CSAPA (consultations avancées)</v>
      </c>
      <c r="G21" s="96" t="str">
        <f>VLOOKUP(Tableau22[[#This Row],[Colonne1]],Tableau124[#All],7,FALSE)</f>
        <v>CSAPA de Belfort - Association Addictions France - consultations avancées</v>
      </c>
      <c r="H21" s="96" t="str">
        <f>VLOOKUP(Tableau22[[#This Row],[Colonne1]],Tableau124[#All],8,FALSE)</f>
        <v>Associatif</v>
      </c>
      <c r="I21" s="361" t="str">
        <f>VLOOKUP(Tableau22[[#This Row],[Colonne1]],Tableau124[#All],9,FALSE)</f>
        <v>csapa.belfort@addictions-france.org</v>
      </c>
      <c r="J21" s="199" t="str">
        <f>VLOOKUP(Tableau22[[#This Row],[Colonne1]],Tableau124[#All],10,FALSE)</f>
        <v>03.84.22.31.39</v>
      </c>
      <c r="K21" s="361" t="str">
        <f>VLOOKUP(Tableau22[[#This Row],[Colonne1]],Tableau124[#All],11,FALSE)</f>
        <v>www.addictions-france.org</v>
      </c>
      <c r="L21" s="96" t="str">
        <f>VLOOKUP(Tableau22[[#This Row],[Colonne1]],Tableau124[#All],12,FALSE)</f>
        <v>Le lundi de 9h30 à 11h30 et le jeudi de 9h à 12h30</v>
      </c>
      <c r="M21" s="96" t="str">
        <f>VLOOKUP(Tableau22[[#This Row],[Colonne1]],Tableau124[#All],13,FALSE)</f>
        <v>Réalisation de consultations avancées</v>
      </c>
    </row>
    <row r="22" spans="2:13" ht="86.5" customHeight="1">
      <c r="B22" s="158">
        <v>205</v>
      </c>
      <c r="C22" s="206" t="str">
        <f>VLOOKUP(Tableau22[[#This Row],[Colonne1]],Tableau124[#All],3,FALSE)</f>
        <v>Trévenans</v>
      </c>
      <c r="D22" s="206">
        <f>VLOOKUP(Tableau22[[#This Row],[Colonne1]],Tableau124[#All],4,FALSE)</f>
        <v>90400</v>
      </c>
      <c r="E22" s="206" t="str">
        <f>VLOOKUP(Tableau22[[#This Row],[Colonne1]],Tableau124[#All],5,FALSE)</f>
        <v>100 Rte de Moval</v>
      </c>
      <c r="F22" s="206" t="str">
        <f>VLOOKUP(Tableau22[[#This Row],[Colonne1]],Tableau124[#All],6,FALSE)</f>
        <v>Consultations Hospitalières externes d'addictologie (autre lieu d'intervention)</v>
      </c>
      <c r="G22" s="206" t="str">
        <f>VLOOKUP(Tableau22[[#This Row],[Colonne1]],Tableau124[#All],7,FALSE)</f>
        <v>HNFC consultations Tech'nom (Hôpital Nord Franche-Comté)</v>
      </c>
      <c r="H22" s="206" t="str">
        <f>VLOOKUP(Tableau22[[#This Row],[Colonne1]],Tableau124[#All],8,FALSE)</f>
        <v>Public</v>
      </c>
      <c r="I22" s="358" t="str">
        <f>VLOOKUP(Tableau22[[#This Row],[Colonne1]],Tableau124[#All],9,FALSE)</f>
        <v>crap.medecine.secr@hnfc.fr</v>
      </c>
      <c r="J22" s="203" t="str">
        <f>VLOOKUP(Tableau22[[#This Row],[Colonne1]],Tableau124[#All],10,FALSE)</f>
        <v>03 84 98 23 50</v>
      </c>
      <c r="K22" s="362" t="str">
        <f>VLOOKUP(Tableau22[[#This Row],[Colonne1]],Tableau124[#All],11,FALSE)</f>
        <v>www.hnfc.fr</v>
      </c>
      <c r="L22" s="206" t="str">
        <f>VLOOKUP(Tableau22[[#This Row],[Colonne1]],Tableau124[#All],12,FALSE)</f>
        <v xml:space="preserve">
vendredi 13H30 à 18H sur le site de Trévenans</v>
      </c>
      <c r="M22" s="206" t="str">
        <f>VLOOKUP(Tableau22[[#This Row],[Colonne1]],Tableau124[#All],13,FALSE)</f>
        <v xml:space="preserve">Intervention auprès de public majeurs </v>
      </c>
    </row>
    <row r="23" spans="2:13" ht="86.5" customHeight="1">
      <c r="C23" s="70"/>
      <c r="D23" s="70"/>
      <c r="E23" s="70"/>
      <c r="F23" s="70"/>
      <c r="G23" s="70"/>
      <c r="H23" s="70"/>
      <c r="I23" s="148"/>
      <c r="J23" s="149"/>
      <c r="K23" s="150"/>
      <c r="L23" s="70"/>
      <c r="M23" s="70"/>
    </row>
    <row r="24" spans="2:13" ht="86.5" customHeight="1">
      <c r="C24" s="70"/>
      <c r="D24" s="70"/>
      <c r="E24" s="70"/>
      <c r="F24" s="70"/>
      <c r="G24" s="70"/>
      <c r="H24" s="70"/>
      <c r="I24" s="148"/>
      <c r="J24" s="149"/>
      <c r="K24" s="150"/>
      <c r="L24" s="70"/>
      <c r="M24" s="70"/>
    </row>
    <row r="25" spans="2:13" ht="86.5" customHeight="1">
      <c r="C25" s="70"/>
      <c r="D25" s="70"/>
      <c r="E25" s="70"/>
      <c r="F25" s="70"/>
      <c r="G25" s="70"/>
      <c r="H25" s="70"/>
      <c r="I25" s="148"/>
      <c r="J25" s="153"/>
      <c r="K25" s="155"/>
      <c r="L25" s="154"/>
      <c r="M25" s="154"/>
    </row>
    <row r="26" spans="2:13" ht="86.5" customHeight="1">
      <c r="C26" s="70"/>
      <c r="D26" s="70"/>
      <c r="E26" s="70"/>
      <c r="F26" s="70"/>
      <c r="G26" s="70"/>
      <c r="H26" s="70"/>
      <c r="I26" s="148"/>
      <c r="J26" s="153"/>
      <c r="K26" s="155"/>
      <c r="L26" s="154"/>
      <c r="M26" s="154"/>
    </row>
    <row r="27" spans="2:13" ht="86.5" customHeight="1">
      <c r="C27" s="70"/>
      <c r="D27" s="70"/>
      <c r="E27" s="70"/>
      <c r="F27" s="70"/>
      <c r="G27" s="70"/>
      <c r="H27" s="70"/>
      <c r="I27" s="148"/>
      <c r="J27" s="153"/>
      <c r="K27" s="155"/>
      <c r="L27" s="154"/>
      <c r="M27" s="154"/>
    </row>
    <row r="28" spans="2:13" ht="86.5" customHeight="1">
      <c r="C28" s="70"/>
      <c r="D28" s="70"/>
      <c r="E28" s="70"/>
      <c r="F28" s="70"/>
      <c r="G28" s="70"/>
      <c r="H28" s="70"/>
      <c r="I28" s="148"/>
      <c r="J28" s="153"/>
      <c r="K28" s="150"/>
      <c r="L28" s="154"/>
      <c r="M28" s="154"/>
    </row>
    <row r="29" spans="2:13" ht="86.5" customHeight="1">
      <c r="C29" s="70"/>
      <c r="D29" s="70"/>
      <c r="E29" s="70"/>
      <c r="F29" s="70"/>
      <c r="G29" s="70"/>
      <c r="H29" s="70"/>
      <c r="I29" s="148"/>
      <c r="J29" s="149"/>
      <c r="K29" s="150"/>
      <c r="L29" s="70"/>
      <c r="M29" s="154"/>
    </row>
    <row r="30" spans="2:13" ht="86.5" customHeight="1">
      <c r="C30" s="70"/>
      <c r="D30" s="70"/>
      <c r="E30" s="70"/>
      <c r="F30" s="70"/>
      <c r="G30" s="70"/>
      <c r="H30" s="70"/>
      <c r="I30" s="148"/>
      <c r="J30" s="153"/>
      <c r="K30" s="150"/>
      <c r="L30" s="154"/>
      <c r="M30" s="154"/>
    </row>
    <row r="31" spans="2:13" ht="86.5" customHeight="1">
      <c r="C31" s="70"/>
      <c r="D31" s="70"/>
      <c r="E31" s="70"/>
      <c r="F31" s="70"/>
      <c r="G31" s="70"/>
      <c r="H31" s="70"/>
      <c r="I31" s="148"/>
      <c r="J31" s="153"/>
      <c r="K31" s="150"/>
      <c r="L31" s="154"/>
      <c r="M31" s="154"/>
    </row>
    <row r="32" spans="2:13" ht="86.5" customHeight="1">
      <c r="C32" s="70"/>
      <c r="D32" s="70"/>
      <c r="E32" s="70"/>
      <c r="F32" s="70"/>
      <c r="G32" s="70"/>
      <c r="H32" s="70"/>
      <c r="I32" s="148"/>
      <c r="J32" s="149"/>
      <c r="K32" s="151"/>
      <c r="L32" s="70"/>
      <c r="M32" s="154"/>
    </row>
    <row r="33" spans="3:13" ht="86.5" customHeight="1">
      <c r="C33" s="70"/>
      <c r="D33" s="70"/>
      <c r="E33" s="70"/>
      <c r="F33" s="70"/>
      <c r="G33" s="70"/>
      <c r="H33" s="70"/>
      <c r="I33" s="148"/>
      <c r="J33" s="149"/>
      <c r="K33" s="148"/>
      <c r="L33" s="70"/>
      <c r="M33" s="70"/>
    </row>
    <row r="34" spans="3:13" ht="86.5" customHeight="1">
      <c r="C34" s="70"/>
      <c r="D34" s="70"/>
      <c r="E34" s="70"/>
      <c r="F34" s="70"/>
      <c r="G34" s="70"/>
      <c r="H34" s="70"/>
      <c r="I34" s="148"/>
      <c r="J34" s="149"/>
      <c r="K34" s="148"/>
      <c r="L34" s="70"/>
      <c r="M34" s="70"/>
    </row>
    <row r="35" spans="3:13" ht="86.5" customHeight="1">
      <c r="C35" s="126"/>
      <c r="D35" s="126"/>
      <c r="E35" s="156"/>
      <c r="F35" s="156"/>
      <c r="G35" s="126"/>
      <c r="H35" s="126"/>
      <c r="I35" s="150"/>
      <c r="J35" s="126"/>
      <c r="K35" s="150"/>
      <c r="L35" s="151"/>
      <c r="M35" s="152"/>
    </row>
    <row r="36" spans="3:13" ht="86.5" customHeight="1">
      <c r="C36" s="126"/>
      <c r="D36" s="126"/>
      <c r="E36" s="156"/>
      <c r="F36" s="156"/>
      <c r="G36" s="126"/>
      <c r="H36" s="126"/>
      <c r="I36" s="150"/>
      <c r="J36" s="126"/>
      <c r="K36" s="150"/>
      <c r="L36" s="151"/>
      <c r="M36" s="152"/>
    </row>
    <row r="37" spans="3:13" ht="86.5" customHeight="1">
      <c r="C37" s="126"/>
      <c r="D37" s="126"/>
      <c r="E37" s="126"/>
      <c r="F37" s="126"/>
      <c r="G37" s="126"/>
      <c r="H37" s="126"/>
      <c r="I37" s="150"/>
      <c r="J37" s="126"/>
      <c r="K37" s="150"/>
      <c r="L37" s="151"/>
      <c r="M37" s="152"/>
    </row>
    <row r="38" spans="3:13" ht="86.5" customHeight="1">
      <c r="C38" s="126"/>
      <c r="D38" s="126"/>
      <c r="E38" s="126"/>
      <c r="F38" s="126"/>
      <c r="G38" s="126"/>
      <c r="H38" s="126"/>
      <c r="I38" s="150"/>
      <c r="J38" s="126"/>
      <c r="K38" s="150"/>
      <c r="L38" s="151"/>
      <c r="M38" s="152"/>
    </row>
    <row r="39" spans="3:13" ht="86.5" customHeight="1">
      <c r="C39" s="126"/>
      <c r="D39" s="126"/>
      <c r="E39" s="126"/>
      <c r="F39" s="126"/>
      <c r="G39" s="126"/>
      <c r="H39" s="126"/>
      <c r="I39" s="150"/>
      <c r="J39" s="126"/>
      <c r="K39" s="150"/>
      <c r="L39" s="151"/>
      <c r="M39" s="152"/>
    </row>
    <row r="40" spans="3:13" ht="86.5" customHeight="1">
      <c r="C40" s="126"/>
      <c r="D40" s="126"/>
      <c r="E40" s="126"/>
      <c r="F40" s="156"/>
      <c r="G40" s="126"/>
      <c r="H40" s="126"/>
      <c r="I40" s="150"/>
      <c r="J40" s="126"/>
      <c r="K40" s="151"/>
      <c r="L40" s="151"/>
      <c r="M40" s="152"/>
    </row>
    <row r="41" spans="3:13" ht="86.5" customHeight="1">
      <c r="C41" s="126"/>
      <c r="D41" s="126"/>
      <c r="E41" s="126"/>
      <c r="F41" s="156"/>
      <c r="G41" s="126"/>
      <c r="H41" s="126"/>
      <c r="I41" s="150"/>
      <c r="J41" s="126"/>
      <c r="K41" s="150"/>
      <c r="L41" s="151"/>
      <c r="M41" s="152"/>
    </row>
    <row r="42" spans="3:13" ht="86.5" customHeight="1">
      <c r="C42" s="126"/>
      <c r="D42" s="126"/>
      <c r="E42" s="126"/>
      <c r="F42" s="156"/>
      <c r="G42" s="126"/>
      <c r="H42" s="126"/>
      <c r="I42" s="150"/>
      <c r="J42" s="126"/>
      <c r="K42" s="150"/>
      <c r="L42" s="151"/>
      <c r="M42" s="152"/>
    </row>
    <row r="43" spans="3:13" ht="86.5" customHeight="1">
      <c r="C43" s="126"/>
      <c r="D43" s="126"/>
      <c r="E43" s="126"/>
      <c r="F43" s="156"/>
      <c r="G43" s="126"/>
      <c r="H43" s="126"/>
      <c r="I43" s="150"/>
      <c r="J43" s="126"/>
      <c r="K43" s="151"/>
      <c r="L43" s="126"/>
      <c r="M43" s="152"/>
    </row>
    <row r="44" spans="3:13" ht="86.5" customHeight="1">
      <c r="C44" s="126"/>
      <c r="D44" s="126"/>
      <c r="E44" s="126"/>
      <c r="F44" s="156"/>
      <c r="G44" s="126"/>
      <c r="H44" s="126"/>
      <c r="I44" s="150"/>
      <c r="J44" s="126"/>
      <c r="K44" s="150"/>
      <c r="L44" s="126"/>
      <c r="M44" s="152"/>
    </row>
    <row r="45" spans="3:13">
      <c r="C45" s="126"/>
      <c r="D45" s="126"/>
      <c r="E45" s="126"/>
      <c r="F45" s="126"/>
      <c r="G45" s="156"/>
      <c r="H45" s="126"/>
      <c r="I45" s="150"/>
      <c r="J45" s="126"/>
      <c r="K45" s="150"/>
      <c r="L45" s="151"/>
      <c r="M45" s="152"/>
    </row>
  </sheetData>
  <mergeCells count="1">
    <mergeCell ref="C3:N3"/>
  </mergeCells>
  <conditionalFormatting sqref="E40:E42">
    <cfRule type="duplicateValues" dxfId="0" priority="1"/>
  </conditionalFormatting>
  <pageMargins left="0.7" right="0.7" top="0.75" bottom="0.75" header="0.3" footer="0.3"/>
  <pageSetup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4">
    <tabColor theme="9" tint="-0.499984740745262"/>
  </sheetPr>
  <dimension ref="A1:T61"/>
  <sheetViews>
    <sheetView workbookViewId="0"/>
  </sheetViews>
  <sheetFormatPr baseColWidth="10" defaultColWidth="10.54296875" defaultRowHeight="14.5"/>
  <cols>
    <col min="1" max="1" width="16.54296875" style="8" customWidth="1"/>
    <col min="2" max="2" width="5" style="1" customWidth="1"/>
    <col min="3" max="3" width="20.54296875" style="1" customWidth="1"/>
    <col min="4" max="4" width="14.81640625" style="1" customWidth="1"/>
    <col min="5" max="5" width="11.1796875" style="1" customWidth="1"/>
    <col min="6" max="6" width="20.81640625" style="1" customWidth="1"/>
    <col min="7" max="7" width="16.453125" style="1" customWidth="1"/>
    <col min="8" max="8" width="19.81640625" style="1" customWidth="1"/>
    <col min="9" max="9" width="10.54296875" style="1"/>
    <col min="10" max="10" width="12.453125" style="1" customWidth="1"/>
    <col min="11" max="11" width="26.453125" style="1" customWidth="1"/>
    <col min="12" max="12" width="15.1796875" style="1" customWidth="1"/>
    <col min="13" max="13" width="25.1796875" style="1" customWidth="1"/>
    <col min="17" max="17" width="14.54296875" style="1" customWidth="1"/>
    <col min="19" max="19" width="17" style="1" customWidth="1"/>
    <col min="20" max="20" width="23.1796875" style="1" customWidth="1"/>
    <col min="21" max="16384" width="10.54296875" style="1"/>
  </cols>
  <sheetData>
    <row r="1" spans="1:18" ht="11.15" customHeight="1">
      <c r="N1" s="1"/>
      <c r="O1" s="1"/>
      <c r="P1" s="1"/>
      <c r="R1" s="1"/>
    </row>
    <row r="2" spans="1:18" ht="20.149999999999999" customHeight="1">
      <c r="C2" s="54" t="s">
        <v>1021</v>
      </c>
      <c r="D2" s="54"/>
      <c r="E2" s="54"/>
      <c r="F2" s="54"/>
      <c r="G2" s="54"/>
      <c r="H2" s="54"/>
      <c r="I2" s="54"/>
      <c r="J2" s="54"/>
      <c r="K2" s="54"/>
      <c r="L2" s="54"/>
      <c r="M2" s="54"/>
      <c r="N2" s="54"/>
      <c r="O2" s="1"/>
      <c r="P2" s="1"/>
      <c r="R2" s="1"/>
    </row>
    <row r="3" spans="1:18">
      <c r="N3" s="1"/>
      <c r="O3" s="1"/>
      <c r="P3" s="1"/>
      <c r="R3" s="1"/>
    </row>
    <row r="4" spans="1:18" ht="58">
      <c r="A4" s="9"/>
      <c r="C4" s="24" t="s">
        <v>18</v>
      </c>
      <c r="D4" s="23" t="s">
        <v>1022</v>
      </c>
      <c r="E4" s="23" t="s">
        <v>20</v>
      </c>
      <c r="F4" s="23" t="s">
        <v>21</v>
      </c>
      <c r="G4" s="22" t="s">
        <v>22</v>
      </c>
      <c r="H4" s="22" t="s">
        <v>23</v>
      </c>
      <c r="I4" s="23" t="s">
        <v>1023</v>
      </c>
      <c r="J4" s="24" t="s">
        <v>1024</v>
      </c>
      <c r="K4" s="23" t="s">
        <v>25</v>
      </c>
      <c r="L4" s="23" t="s">
        <v>1025</v>
      </c>
      <c r="M4" s="23" t="s">
        <v>1026</v>
      </c>
      <c r="N4" s="23" t="s">
        <v>53</v>
      </c>
      <c r="O4" s="23" t="s">
        <v>1027</v>
      </c>
      <c r="P4" s="23" t="s">
        <v>1028</v>
      </c>
      <c r="Q4" s="23" t="s">
        <v>29</v>
      </c>
      <c r="R4" s="1"/>
    </row>
    <row r="5" spans="1:18" ht="130.5">
      <c r="C5" s="27" t="s">
        <v>532</v>
      </c>
      <c r="D5" s="27" t="s">
        <v>1029</v>
      </c>
      <c r="E5" s="27" t="s">
        <v>977</v>
      </c>
      <c r="F5" s="27" t="s">
        <v>1030</v>
      </c>
      <c r="G5" s="26" t="s">
        <v>9</v>
      </c>
      <c r="H5" s="27" t="s">
        <v>997</v>
      </c>
      <c r="I5" s="27" t="s">
        <v>1031</v>
      </c>
      <c r="J5" s="27" t="s">
        <v>53</v>
      </c>
      <c r="K5" s="33" t="s">
        <v>667</v>
      </c>
      <c r="L5" s="27" t="s">
        <v>1001</v>
      </c>
      <c r="M5" s="33" t="s">
        <v>669</v>
      </c>
      <c r="N5" s="27" t="s">
        <v>1032</v>
      </c>
      <c r="O5" s="27" t="s">
        <v>1033</v>
      </c>
      <c r="P5" s="27" t="s">
        <v>1034</v>
      </c>
      <c r="Q5" s="55" t="s">
        <v>1002</v>
      </c>
      <c r="R5" s="1"/>
    </row>
    <row r="6" spans="1:18" ht="159.5">
      <c r="C6" s="27" t="s">
        <v>31</v>
      </c>
      <c r="D6" s="27" t="s">
        <v>1035</v>
      </c>
      <c r="E6" s="27" t="s">
        <v>622</v>
      </c>
      <c r="F6" s="27" t="s">
        <v>1036</v>
      </c>
      <c r="G6" s="26" t="s">
        <v>9</v>
      </c>
      <c r="H6" s="27" t="s">
        <v>636</v>
      </c>
      <c r="I6" s="27" t="s">
        <v>1031</v>
      </c>
      <c r="J6" s="27" t="s">
        <v>53</v>
      </c>
      <c r="K6" s="33" t="s">
        <v>1037</v>
      </c>
      <c r="L6" s="27" t="s">
        <v>1038</v>
      </c>
      <c r="M6" s="33" t="s">
        <v>639</v>
      </c>
      <c r="N6" s="27" t="s">
        <v>1039</v>
      </c>
      <c r="O6" s="27" t="s">
        <v>1033</v>
      </c>
      <c r="P6" s="27" t="s">
        <v>1040</v>
      </c>
      <c r="Q6" s="56" t="s">
        <v>1041</v>
      </c>
      <c r="R6" s="1"/>
    </row>
    <row r="7" spans="1:18" ht="130.5">
      <c r="C7" s="27" t="s">
        <v>42</v>
      </c>
      <c r="D7" s="27" t="s">
        <v>43</v>
      </c>
      <c r="E7" s="27" t="s">
        <v>50</v>
      </c>
      <c r="F7" s="27" t="s">
        <v>1042</v>
      </c>
      <c r="G7" s="26" t="s">
        <v>9</v>
      </c>
      <c r="H7" s="27" t="s">
        <v>52</v>
      </c>
      <c r="I7" s="27" t="s">
        <v>1031</v>
      </c>
      <c r="J7" s="27" t="s">
        <v>53</v>
      </c>
      <c r="K7" s="33" t="s">
        <v>1043</v>
      </c>
      <c r="L7" s="27" t="s">
        <v>55</v>
      </c>
      <c r="M7" s="34"/>
      <c r="N7" s="27" t="s">
        <v>1032</v>
      </c>
      <c r="O7" s="27" t="s">
        <v>1033</v>
      </c>
      <c r="P7" s="27" t="s">
        <v>1044</v>
      </c>
      <c r="Q7" s="55" t="s">
        <v>1045</v>
      </c>
      <c r="R7" s="1"/>
    </row>
    <row r="8" spans="1:18" ht="145">
      <c r="C8" s="27" t="s">
        <v>42</v>
      </c>
      <c r="D8" s="27" t="s">
        <v>1046</v>
      </c>
      <c r="E8" s="27" t="s">
        <v>772</v>
      </c>
      <c r="F8" s="27" t="s">
        <v>1047</v>
      </c>
      <c r="G8" s="26" t="s">
        <v>9</v>
      </c>
      <c r="H8" s="27" t="s">
        <v>1048</v>
      </c>
      <c r="I8" s="27" t="s">
        <v>1031</v>
      </c>
      <c r="J8" s="27" t="s">
        <v>53</v>
      </c>
      <c r="K8" s="33" t="s">
        <v>1049</v>
      </c>
      <c r="L8" s="27" t="s">
        <v>1050</v>
      </c>
      <c r="M8" s="34"/>
      <c r="N8" s="27" t="s">
        <v>1032</v>
      </c>
      <c r="O8" s="27" t="s">
        <v>1033</v>
      </c>
      <c r="P8" s="27" t="s">
        <v>1051</v>
      </c>
      <c r="Q8" s="55" t="s">
        <v>1052</v>
      </c>
      <c r="R8" s="1"/>
    </row>
    <row r="9" spans="1:18" ht="290">
      <c r="C9" s="27" t="s">
        <v>119</v>
      </c>
      <c r="D9" s="27" t="s">
        <v>165</v>
      </c>
      <c r="E9" s="27" t="s">
        <v>176</v>
      </c>
      <c r="F9" s="27" t="s">
        <v>1053</v>
      </c>
      <c r="G9" s="26" t="s">
        <v>9</v>
      </c>
      <c r="H9" s="27" t="s">
        <v>178</v>
      </c>
      <c r="I9" s="27" t="s">
        <v>1031</v>
      </c>
      <c r="J9" s="27" t="s">
        <v>53</v>
      </c>
      <c r="K9" s="33" t="s">
        <v>179</v>
      </c>
      <c r="L9" s="27" t="s">
        <v>180</v>
      </c>
      <c r="M9" s="33" t="s">
        <v>181</v>
      </c>
      <c r="N9" s="27" t="s">
        <v>1032</v>
      </c>
      <c r="O9" s="27" t="s">
        <v>1054</v>
      </c>
      <c r="P9" s="27" t="s">
        <v>1055</v>
      </c>
      <c r="Q9" s="56" t="s">
        <v>186</v>
      </c>
      <c r="R9" s="1"/>
    </row>
    <row r="10" spans="1:18" ht="130.5">
      <c r="C10" s="27" t="s">
        <v>42</v>
      </c>
      <c r="D10" s="27" t="s">
        <v>695</v>
      </c>
      <c r="E10" s="27" t="s">
        <v>696</v>
      </c>
      <c r="F10" s="27" t="s">
        <v>1056</v>
      </c>
      <c r="G10" s="26" t="s">
        <v>9</v>
      </c>
      <c r="H10" s="27" t="s">
        <v>705</v>
      </c>
      <c r="I10" s="27" t="s">
        <v>1031</v>
      </c>
      <c r="J10" s="27" t="s">
        <v>53</v>
      </c>
      <c r="K10" s="33" t="s">
        <v>1057</v>
      </c>
      <c r="L10" s="27" t="s">
        <v>707</v>
      </c>
      <c r="M10" s="33" t="s">
        <v>1058</v>
      </c>
      <c r="N10" s="27" t="s">
        <v>1032</v>
      </c>
      <c r="O10" s="27" t="s">
        <v>1033</v>
      </c>
      <c r="P10" s="27" t="s">
        <v>1059</v>
      </c>
      <c r="Q10" s="55" t="s">
        <v>1060</v>
      </c>
      <c r="R10" s="1"/>
    </row>
    <row r="11" spans="1:18" ht="72.5">
      <c r="C11" s="27" t="s">
        <v>31</v>
      </c>
      <c r="D11" s="27" t="s">
        <v>493</v>
      </c>
      <c r="E11" s="27" t="s">
        <v>494</v>
      </c>
      <c r="F11" s="27" t="s">
        <v>1061</v>
      </c>
      <c r="G11" s="26" t="s">
        <v>9</v>
      </c>
      <c r="H11" s="27" t="s">
        <v>502</v>
      </c>
      <c r="I11" s="27" t="s">
        <v>1031</v>
      </c>
      <c r="J11" s="27" t="s">
        <v>53</v>
      </c>
      <c r="K11" s="33" t="s">
        <v>517</v>
      </c>
      <c r="L11" s="27" t="s">
        <v>518</v>
      </c>
      <c r="M11" s="33" t="s">
        <v>505</v>
      </c>
      <c r="N11" s="27" t="s">
        <v>1032</v>
      </c>
      <c r="O11" s="27" t="s">
        <v>1062</v>
      </c>
      <c r="P11" s="27" t="s">
        <v>1062</v>
      </c>
      <c r="Q11" s="56" t="s">
        <v>519</v>
      </c>
      <c r="R11" s="1"/>
    </row>
    <row r="12" spans="1:18" ht="101.5">
      <c r="C12" s="27" t="s">
        <v>1063</v>
      </c>
      <c r="D12" s="27" t="s">
        <v>896</v>
      </c>
      <c r="E12" s="27" t="s">
        <v>897</v>
      </c>
      <c r="F12" s="27" t="s">
        <v>1064</v>
      </c>
      <c r="G12" s="26" t="s">
        <v>9</v>
      </c>
      <c r="H12" s="27" t="s">
        <v>898</v>
      </c>
      <c r="I12" s="27" t="s">
        <v>161</v>
      </c>
      <c r="J12" s="27" t="s">
        <v>53</v>
      </c>
      <c r="K12" s="33" t="s">
        <v>521</v>
      </c>
      <c r="L12" s="27" t="s">
        <v>522</v>
      </c>
      <c r="M12" s="33" t="s">
        <v>523</v>
      </c>
      <c r="N12" s="27" t="s">
        <v>1032</v>
      </c>
      <c r="O12" s="27" t="s">
        <v>1033</v>
      </c>
      <c r="P12" s="27" t="s">
        <v>1065</v>
      </c>
      <c r="Q12" s="55" t="s">
        <v>1066</v>
      </c>
      <c r="R12" s="1"/>
    </row>
    <row r="13" spans="1:18" ht="101.5">
      <c r="C13" s="27" t="s">
        <v>119</v>
      </c>
      <c r="D13" s="27" t="s">
        <v>1067</v>
      </c>
      <c r="E13" s="27" t="s">
        <v>916</v>
      </c>
      <c r="F13" s="27" t="s">
        <v>1068</v>
      </c>
      <c r="G13" s="26" t="s">
        <v>9</v>
      </c>
      <c r="H13" s="27" t="s">
        <v>918</v>
      </c>
      <c r="I13" s="27" t="s">
        <v>1031</v>
      </c>
      <c r="J13" s="27" t="s">
        <v>53</v>
      </c>
      <c r="K13" s="33" t="s">
        <v>746</v>
      </c>
      <c r="L13" s="27" t="s">
        <v>1069</v>
      </c>
      <c r="M13" s="33" t="s">
        <v>748</v>
      </c>
      <c r="N13" s="27" t="s">
        <v>1032</v>
      </c>
      <c r="O13" s="27" t="s">
        <v>1033</v>
      </c>
      <c r="P13" s="27" t="s">
        <v>1070</v>
      </c>
      <c r="Q13" s="55" t="s">
        <v>1071</v>
      </c>
      <c r="R13" s="1"/>
    </row>
    <row r="14" spans="1:18" ht="174">
      <c r="C14" s="27" t="s">
        <v>68</v>
      </c>
      <c r="D14" s="27" t="s">
        <v>921</v>
      </c>
      <c r="E14" s="27" t="s">
        <v>927</v>
      </c>
      <c r="F14" s="27" t="s">
        <v>1072</v>
      </c>
      <c r="G14" s="26" t="s">
        <v>9</v>
      </c>
      <c r="H14" s="27" t="s">
        <v>929</v>
      </c>
      <c r="I14" s="27" t="s">
        <v>1031</v>
      </c>
      <c r="J14" s="27" t="s">
        <v>53</v>
      </c>
      <c r="K14" s="33" t="s">
        <v>1073</v>
      </c>
      <c r="L14" s="27" t="s">
        <v>931</v>
      </c>
      <c r="M14" s="33" t="s">
        <v>932</v>
      </c>
      <c r="N14" s="27" t="s">
        <v>1032</v>
      </c>
      <c r="O14" s="27" t="s">
        <v>1074</v>
      </c>
      <c r="P14" s="27" t="s">
        <v>1075</v>
      </c>
      <c r="Q14" s="56" t="s">
        <v>947</v>
      </c>
      <c r="R14" s="1"/>
    </row>
    <row r="15" spans="1:18" ht="174">
      <c r="C15" s="27" t="s">
        <v>357</v>
      </c>
      <c r="D15" s="27" t="s">
        <v>397</v>
      </c>
      <c r="E15" s="27">
        <v>58300</v>
      </c>
      <c r="F15" s="27" t="s">
        <v>1076</v>
      </c>
      <c r="G15" s="26" t="s">
        <v>9</v>
      </c>
      <c r="H15" s="27" t="s">
        <v>400</v>
      </c>
      <c r="I15" s="27" t="s">
        <v>1031</v>
      </c>
      <c r="J15" s="27" t="s">
        <v>53</v>
      </c>
      <c r="K15" s="33" t="s">
        <v>411</v>
      </c>
      <c r="L15" s="27" t="s">
        <v>402</v>
      </c>
      <c r="M15" s="33" t="s">
        <v>403</v>
      </c>
      <c r="N15" s="27" t="s">
        <v>1032</v>
      </c>
      <c r="O15" s="27" t="s">
        <v>1077</v>
      </c>
      <c r="P15" s="27" t="s">
        <v>1078</v>
      </c>
      <c r="Q15" s="56" t="s">
        <v>412</v>
      </c>
      <c r="R15" s="1"/>
    </row>
    <row r="16" spans="1:18" ht="101.5">
      <c r="C16" s="27" t="s">
        <v>119</v>
      </c>
      <c r="D16" s="27" t="s">
        <v>1067</v>
      </c>
      <c r="E16" s="27" t="s">
        <v>916</v>
      </c>
      <c r="F16" s="27" t="s">
        <v>1079</v>
      </c>
      <c r="G16" s="26" t="s">
        <v>9</v>
      </c>
      <c r="H16" s="27" t="s">
        <v>1080</v>
      </c>
      <c r="I16" s="27" t="s">
        <v>1031</v>
      </c>
      <c r="J16" s="27" t="s">
        <v>53</v>
      </c>
      <c r="K16" s="33" t="s">
        <v>746</v>
      </c>
      <c r="L16" s="27" t="s">
        <v>1069</v>
      </c>
      <c r="M16" s="33" t="s">
        <v>748</v>
      </c>
      <c r="N16" s="27" t="s">
        <v>1032</v>
      </c>
      <c r="O16" s="27" t="s">
        <v>1033</v>
      </c>
      <c r="P16" s="27" t="s">
        <v>1081</v>
      </c>
      <c r="Q16" s="55" t="s">
        <v>1082</v>
      </c>
      <c r="R16" s="1"/>
    </row>
    <row r="17" spans="3:20" ht="159.5">
      <c r="C17" s="27" t="s">
        <v>1083</v>
      </c>
      <c r="D17" s="27" t="s">
        <v>418</v>
      </c>
      <c r="E17" s="27" t="s">
        <v>427</v>
      </c>
      <c r="F17" s="27" t="s">
        <v>469</v>
      </c>
      <c r="G17" s="26" t="s">
        <v>9</v>
      </c>
      <c r="H17" s="27" t="s">
        <v>470</v>
      </c>
      <c r="I17" s="27" t="s">
        <v>161</v>
      </c>
      <c r="J17" s="27" t="s">
        <v>53</v>
      </c>
      <c r="K17" s="33" t="s">
        <v>471</v>
      </c>
      <c r="L17" s="27" t="s">
        <v>472</v>
      </c>
      <c r="M17" s="33" t="s">
        <v>473</v>
      </c>
      <c r="N17" s="27" t="s">
        <v>1032</v>
      </c>
      <c r="O17" s="27" t="s">
        <v>1033</v>
      </c>
      <c r="P17" s="27" t="s">
        <v>1084</v>
      </c>
      <c r="Q17" s="55" t="s">
        <v>1085</v>
      </c>
      <c r="R17" s="1"/>
    </row>
    <row r="18" spans="3:20" ht="130.5">
      <c r="C18" s="27" t="s">
        <v>42</v>
      </c>
      <c r="D18" s="27" t="s">
        <v>1046</v>
      </c>
      <c r="E18" s="27" t="s">
        <v>772</v>
      </c>
      <c r="F18" s="27" t="s">
        <v>1086</v>
      </c>
      <c r="G18" s="26" t="s">
        <v>9</v>
      </c>
      <c r="H18" s="27" t="s">
        <v>1087</v>
      </c>
      <c r="I18" s="27" t="s">
        <v>1031</v>
      </c>
      <c r="J18" s="27" t="s">
        <v>53</v>
      </c>
      <c r="K18" s="33" t="s">
        <v>775</v>
      </c>
      <c r="L18" s="27" t="s">
        <v>776</v>
      </c>
      <c r="M18" s="34"/>
      <c r="N18" s="27" t="s">
        <v>1032</v>
      </c>
      <c r="O18" s="27" t="s">
        <v>1033</v>
      </c>
      <c r="P18" s="27" t="s">
        <v>1088</v>
      </c>
      <c r="Q18" s="55" t="s">
        <v>779</v>
      </c>
      <c r="R18" s="1"/>
    </row>
    <row r="19" spans="3:20" ht="87">
      <c r="C19" s="27" t="s">
        <v>119</v>
      </c>
      <c r="D19" s="27" t="s">
        <v>1067</v>
      </c>
      <c r="E19" s="27" t="s">
        <v>916</v>
      </c>
      <c r="F19" s="27" t="s">
        <v>1089</v>
      </c>
      <c r="G19" s="26" t="s">
        <v>9</v>
      </c>
      <c r="H19" s="27" t="s">
        <v>1090</v>
      </c>
      <c r="I19" s="27" t="s">
        <v>1031</v>
      </c>
      <c r="J19" s="27" t="s">
        <v>53</v>
      </c>
      <c r="K19" s="33" t="s">
        <v>746</v>
      </c>
      <c r="L19" s="27" t="s">
        <v>1069</v>
      </c>
      <c r="M19" s="33" t="s">
        <v>748</v>
      </c>
      <c r="N19" s="27" t="s">
        <v>1032</v>
      </c>
      <c r="O19" s="27" t="s">
        <v>1033</v>
      </c>
      <c r="P19" s="27" t="s">
        <v>1091</v>
      </c>
      <c r="Q19" s="55" t="s">
        <v>1092</v>
      </c>
      <c r="R19" s="1"/>
    </row>
    <row r="20" spans="3:20" ht="174">
      <c r="C20" s="27" t="s">
        <v>68</v>
      </c>
      <c r="D20" s="27" t="s">
        <v>570</v>
      </c>
      <c r="E20" s="27" t="s">
        <v>571</v>
      </c>
      <c r="F20" s="27" t="s">
        <v>1093</v>
      </c>
      <c r="G20" s="26" t="s">
        <v>9</v>
      </c>
      <c r="H20" s="27" t="s">
        <v>578</v>
      </c>
      <c r="I20" s="27" t="s">
        <v>1031</v>
      </c>
      <c r="J20" s="27" t="s">
        <v>53</v>
      </c>
      <c r="K20" s="33" t="s">
        <v>574</v>
      </c>
      <c r="L20" s="27" t="s">
        <v>1094</v>
      </c>
      <c r="M20" s="34"/>
      <c r="N20" s="27" t="s">
        <v>1039</v>
      </c>
      <c r="O20" s="27" t="s">
        <v>1074</v>
      </c>
      <c r="P20" s="27" t="s">
        <v>1095</v>
      </c>
      <c r="Q20" s="56" t="s">
        <v>583</v>
      </c>
      <c r="R20" s="1"/>
    </row>
    <row r="21" spans="3:20" ht="145">
      <c r="C21" s="27" t="s">
        <v>68</v>
      </c>
      <c r="D21" s="27" t="s">
        <v>69</v>
      </c>
      <c r="E21" s="27" t="s">
        <v>70</v>
      </c>
      <c r="F21" s="27" t="s">
        <v>1096</v>
      </c>
      <c r="G21" s="26" t="s">
        <v>9</v>
      </c>
      <c r="H21" s="27" t="s">
        <v>85</v>
      </c>
      <c r="I21" s="27" t="s">
        <v>1031</v>
      </c>
      <c r="J21" s="27" t="s">
        <v>53</v>
      </c>
      <c r="K21" s="33" t="s">
        <v>86</v>
      </c>
      <c r="L21" s="27" t="s">
        <v>87</v>
      </c>
      <c r="M21" s="33" t="s">
        <v>88</v>
      </c>
      <c r="N21" s="27" t="s">
        <v>1039</v>
      </c>
      <c r="O21" s="27" t="s">
        <v>1033</v>
      </c>
      <c r="P21" s="27" t="s">
        <v>1097</v>
      </c>
      <c r="Q21" s="56" t="s">
        <v>110</v>
      </c>
      <c r="R21" s="1"/>
    </row>
    <row r="22" spans="3:20" ht="159.5">
      <c r="C22" s="27" t="s">
        <v>1098</v>
      </c>
      <c r="D22" s="27" t="s">
        <v>418</v>
      </c>
      <c r="E22" s="27" t="s">
        <v>427</v>
      </c>
      <c r="F22" s="27" t="s">
        <v>1099</v>
      </c>
      <c r="G22" s="26" t="s">
        <v>9</v>
      </c>
      <c r="H22" s="27" t="s">
        <v>448</v>
      </c>
      <c r="I22" s="27" t="s">
        <v>1031</v>
      </c>
      <c r="J22" s="27" t="s">
        <v>53</v>
      </c>
      <c r="K22" s="33" t="s">
        <v>449</v>
      </c>
      <c r="L22" s="27" t="s">
        <v>475</v>
      </c>
      <c r="M22" s="33" t="s">
        <v>451</v>
      </c>
      <c r="N22" s="27" t="s">
        <v>1032</v>
      </c>
      <c r="O22" s="27" t="s">
        <v>1033</v>
      </c>
      <c r="P22" s="27" t="s">
        <v>1100</v>
      </c>
      <c r="Q22" s="55" t="s">
        <v>476</v>
      </c>
      <c r="R22" s="1"/>
    </row>
    <row r="23" spans="3:20" ht="116">
      <c r="C23" s="27" t="s">
        <v>31</v>
      </c>
      <c r="D23" s="27" t="s">
        <v>493</v>
      </c>
      <c r="E23" s="27" t="s">
        <v>494</v>
      </c>
      <c r="F23" s="27" t="s">
        <v>1101</v>
      </c>
      <c r="G23" s="26" t="s">
        <v>9</v>
      </c>
      <c r="H23" s="27" t="s">
        <v>511</v>
      </c>
      <c r="I23" s="27" t="s">
        <v>1031</v>
      </c>
      <c r="J23" s="27" t="s">
        <v>53</v>
      </c>
      <c r="K23" s="33" t="s">
        <v>512</v>
      </c>
      <c r="L23" s="27" t="s">
        <v>522</v>
      </c>
      <c r="M23" s="34"/>
      <c r="N23" s="27" t="s">
        <v>1032</v>
      </c>
      <c r="O23" s="27" t="s">
        <v>1033</v>
      </c>
      <c r="P23" s="27" t="s">
        <v>1102</v>
      </c>
      <c r="Q23" s="55" t="s">
        <v>524</v>
      </c>
      <c r="R23" s="1"/>
    </row>
    <row r="24" spans="3:20" ht="101.5">
      <c r="C24" s="27" t="s">
        <v>357</v>
      </c>
      <c r="D24" s="27" t="s">
        <v>800</v>
      </c>
      <c r="E24" s="27" t="s">
        <v>801</v>
      </c>
      <c r="F24" s="27" t="s">
        <v>1103</v>
      </c>
      <c r="G24" s="26" t="s">
        <v>9</v>
      </c>
      <c r="H24" s="27" t="s">
        <v>812</v>
      </c>
      <c r="I24" s="27" t="s">
        <v>1031</v>
      </c>
      <c r="J24" s="27" t="s">
        <v>53</v>
      </c>
      <c r="K24" s="33" t="s">
        <v>1104</v>
      </c>
      <c r="L24" s="27" t="s">
        <v>814</v>
      </c>
      <c r="M24" s="33" t="s">
        <v>1105</v>
      </c>
      <c r="N24" s="27" t="s">
        <v>1032</v>
      </c>
      <c r="O24" s="27" t="s">
        <v>1106</v>
      </c>
      <c r="P24" s="27"/>
      <c r="Q24" s="56" t="s">
        <v>820</v>
      </c>
      <c r="R24" s="1"/>
    </row>
    <row r="25" spans="3:20" ht="130.5">
      <c r="C25" s="27" t="s">
        <v>1107</v>
      </c>
      <c r="D25" s="27" t="s">
        <v>153</v>
      </c>
      <c r="E25" s="27" t="s">
        <v>154</v>
      </c>
      <c r="F25" s="27" t="s">
        <v>162</v>
      </c>
      <c r="G25" s="26" t="s">
        <v>9</v>
      </c>
      <c r="H25" s="27" t="s">
        <v>156</v>
      </c>
      <c r="I25" s="27" t="s">
        <v>161</v>
      </c>
      <c r="J25" s="27" t="s">
        <v>36</v>
      </c>
      <c r="K25" s="33" t="s">
        <v>157</v>
      </c>
      <c r="L25" s="27" t="s">
        <v>163</v>
      </c>
      <c r="M25" s="33" t="s">
        <v>159</v>
      </c>
      <c r="N25" s="27" t="s">
        <v>1032</v>
      </c>
      <c r="O25" s="27" t="s">
        <v>1033</v>
      </c>
      <c r="P25" s="27" t="s">
        <v>1108</v>
      </c>
      <c r="Q25" s="55" t="s">
        <v>164</v>
      </c>
      <c r="R25" s="1"/>
    </row>
    <row r="26" spans="3:20" ht="101.5">
      <c r="C26" s="27" t="s">
        <v>31</v>
      </c>
      <c r="D26" s="27" t="s">
        <v>298</v>
      </c>
      <c r="E26" s="27" t="s">
        <v>299</v>
      </c>
      <c r="F26" s="27" t="s">
        <v>1109</v>
      </c>
      <c r="G26" s="26" t="s">
        <v>9</v>
      </c>
      <c r="H26" s="27" t="s">
        <v>301</v>
      </c>
      <c r="I26" s="27" t="s">
        <v>1031</v>
      </c>
      <c r="J26" s="27" t="s">
        <v>36</v>
      </c>
      <c r="K26" s="33" t="s">
        <v>1110</v>
      </c>
      <c r="L26" s="27" t="s">
        <v>303</v>
      </c>
      <c r="M26" s="33" t="s">
        <v>304</v>
      </c>
      <c r="N26" s="27" t="s">
        <v>1032</v>
      </c>
      <c r="O26" s="27" t="s">
        <v>1033</v>
      </c>
      <c r="P26" s="27" t="s">
        <v>1111</v>
      </c>
      <c r="Q26" s="55" t="s">
        <v>305</v>
      </c>
      <c r="R26" s="1"/>
    </row>
    <row r="27" spans="3:20" ht="130.5">
      <c r="C27" s="27" t="s">
        <v>1112</v>
      </c>
      <c r="D27" s="26" t="s">
        <v>1046</v>
      </c>
      <c r="E27" s="26" t="s">
        <v>1113</v>
      </c>
      <c r="F27" s="26" t="s">
        <v>1114</v>
      </c>
      <c r="G27" s="26" t="s">
        <v>9</v>
      </c>
      <c r="H27" s="26" t="s">
        <v>783</v>
      </c>
      <c r="I27" s="27" t="s">
        <v>1031</v>
      </c>
      <c r="J27" s="27" t="s">
        <v>53</v>
      </c>
      <c r="K27" s="33" t="s">
        <v>1049</v>
      </c>
      <c r="L27" s="26" t="s">
        <v>776</v>
      </c>
      <c r="M27" s="34"/>
      <c r="N27" s="27" t="s">
        <v>1032</v>
      </c>
      <c r="O27" s="27" t="s">
        <v>1033</v>
      </c>
      <c r="P27" s="27" t="s">
        <v>1088</v>
      </c>
      <c r="Q27" s="55" t="s">
        <v>1115</v>
      </c>
      <c r="R27" s="1"/>
    </row>
    <row r="28" spans="3:20" ht="130.5">
      <c r="C28" s="37" t="s">
        <v>145</v>
      </c>
      <c r="D28" s="30" t="s">
        <v>864</v>
      </c>
      <c r="E28" s="30" t="s">
        <v>865</v>
      </c>
      <c r="F28" s="30" t="s">
        <v>1116</v>
      </c>
      <c r="G28" s="30" t="s">
        <v>9</v>
      </c>
      <c r="H28" s="30" t="s">
        <v>1117</v>
      </c>
      <c r="I28" s="37" t="s">
        <v>1031</v>
      </c>
      <c r="J28" s="37" t="s">
        <v>53</v>
      </c>
      <c r="K28" s="35" t="s">
        <v>794</v>
      </c>
      <c r="L28" s="30" t="s">
        <v>795</v>
      </c>
      <c r="M28" s="36"/>
      <c r="N28" s="37" t="s">
        <v>1032</v>
      </c>
      <c r="O28" s="37" t="s">
        <v>1033</v>
      </c>
      <c r="P28" s="37" t="s">
        <v>1118</v>
      </c>
      <c r="Q28" s="55" t="s">
        <v>1119</v>
      </c>
      <c r="R28" s="1"/>
    </row>
    <row r="29" spans="3:20" ht="116">
      <c r="C29" s="30" t="s">
        <v>68</v>
      </c>
      <c r="D29" s="26" t="s">
        <v>69</v>
      </c>
      <c r="E29" s="26">
        <v>89011</v>
      </c>
      <c r="F29" s="37" t="s">
        <v>90</v>
      </c>
      <c r="G29" s="30" t="s">
        <v>9</v>
      </c>
      <c r="H29" s="26" t="s">
        <v>91</v>
      </c>
      <c r="I29" s="30" t="s">
        <v>1031</v>
      </c>
      <c r="J29" s="26" t="s">
        <v>53</v>
      </c>
      <c r="K29" s="35" t="s">
        <v>92</v>
      </c>
      <c r="L29" s="41" t="s">
        <v>111</v>
      </c>
      <c r="M29" s="39" t="s">
        <v>94</v>
      </c>
      <c r="N29" s="41" t="s">
        <v>1032</v>
      </c>
      <c r="O29" s="41" t="s">
        <v>1033</v>
      </c>
      <c r="P29" s="41" t="s">
        <v>1120</v>
      </c>
      <c r="Q29" s="55" t="s">
        <v>112</v>
      </c>
      <c r="S29" s="42"/>
      <c r="T29" s="42"/>
    </row>
    <row r="30" spans="3:20">
      <c r="C30" s="42"/>
      <c r="D30" s="42"/>
      <c r="E30" s="42"/>
      <c r="F30" s="42"/>
      <c r="G30" s="42"/>
      <c r="H30" s="42"/>
      <c r="I30" s="42"/>
      <c r="J30" s="42"/>
      <c r="K30" s="42"/>
      <c r="L30" s="42"/>
      <c r="M30" s="42"/>
      <c r="Q30" s="42"/>
      <c r="S30" s="42"/>
      <c r="T30" s="42"/>
    </row>
    <row r="31" spans="3:20">
      <c r="C31" s="42"/>
      <c r="D31" s="42"/>
      <c r="E31" s="42"/>
      <c r="F31" s="42"/>
      <c r="G31" s="42"/>
      <c r="H31" s="42"/>
      <c r="I31" s="42"/>
      <c r="J31" s="42"/>
      <c r="K31" s="42"/>
      <c r="L31" s="42"/>
      <c r="M31" s="42"/>
      <c r="Q31" s="42"/>
      <c r="S31" s="42"/>
      <c r="T31" s="42"/>
    </row>
    <row r="32" spans="3:20">
      <c r="C32" s="42"/>
      <c r="D32" s="42"/>
      <c r="E32" s="42"/>
      <c r="F32" s="42"/>
      <c r="G32" s="42"/>
      <c r="H32" s="42"/>
      <c r="I32" s="42"/>
      <c r="J32" s="42"/>
      <c r="K32" s="42"/>
      <c r="L32" s="42"/>
      <c r="M32" s="42"/>
      <c r="Q32" s="42"/>
      <c r="S32" s="42"/>
      <c r="T32" s="42"/>
    </row>
    <row r="33" spans="3:20">
      <c r="C33" s="42"/>
      <c r="D33" s="42"/>
      <c r="E33" s="42"/>
      <c r="F33" s="42"/>
      <c r="G33" s="42"/>
      <c r="H33" s="42"/>
      <c r="I33" s="42"/>
      <c r="J33" s="42"/>
      <c r="K33" s="42"/>
      <c r="L33" s="42"/>
      <c r="M33" s="42"/>
      <c r="Q33" s="42"/>
      <c r="S33" s="42"/>
      <c r="T33" s="42"/>
    </row>
    <row r="34" spans="3:20">
      <c r="C34" s="42"/>
      <c r="D34" s="42"/>
      <c r="E34" s="42"/>
      <c r="F34" s="42"/>
      <c r="G34" s="42"/>
      <c r="H34" s="42"/>
      <c r="I34" s="42"/>
      <c r="J34" s="42"/>
      <c r="K34" s="42"/>
      <c r="L34" s="42"/>
      <c r="M34" s="42"/>
      <c r="Q34" s="42"/>
      <c r="S34" s="42"/>
      <c r="T34" s="42"/>
    </row>
    <row r="35" spans="3:20">
      <c r="C35" s="42"/>
      <c r="D35" s="42"/>
      <c r="E35" s="42"/>
      <c r="F35" s="42"/>
      <c r="G35" s="42"/>
      <c r="H35" s="42"/>
      <c r="I35" s="42"/>
      <c r="J35" s="42"/>
      <c r="K35" s="42"/>
      <c r="L35" s="42"/>
      <c r="M35" s="42"/>
      <c r="Q35" s="42"/>
      <c r="S35" s="42"/>
      <c r="T35" s="42"/>
    </row>
    <row r="36" spans="3:20">
      <c r="C36" s="42"/>
      <c r="D36" s="42"/>
      <c r="E36" s="42"/>
      <c r="F36" s="42"/>
      <c r="G36" s="42"/>
      <c r="H36" s="42"/>
      <c r="I36" s="42"/>
      <c r="J36" s="42"/>
      <c r="K36" s="42"/>
      <c r="L36" s="42"/>
      <c r="M36" s="42"/>
      <c r="Q36" s="42"/>
      <c r="S36" s="42"/>
      <c r="T36" s="42"/>
    </row>
    <row r="37" spans="3:20">
      <c r="C37" s="42"/>
      <c r="D37" s="42"/>
      <c r="E37" s="42"/>
      <c r="F37" s="42"/>
      <c r="G37" s="42"/>
      <c r="H37" s="42"/>
      <c r="I37" s="42"/>
      <c r="J37" s="42"/>
      <c r="K37" s="42"/>
      <c r="L37" s="42"/>
      <c r="M37" s="42"/>
      <c r="Q37" s="42"/>
      <c r="S37" s="42"/>
      <c r="T37" s="42"/>
    </row>
    <row r="38" spans="3:20">
      <c r="C38" s="42"/>
      <c r="D38" s="42"/>
      <c r="E38" s="42"/>
      <c r="F38" s="42"/>
      <c r="G38" s="42"/>
      <c r="H38" s="42"/>
      <c r="I38" s="42"/>
      <c r="J38" s="42"/>
      <c r="K38" s="42"/>
      <c r="L38" s="42"/>
      <c r="M38" s="42"/>
      <c r="Q38" s="42"/>
      <c r="S38" s="42"/>
      <c r="T38" s="42"/>
    </row>
    <row r="39" spans="3:20">
      <c r="C39" s="42"/>
      <c r="D39" s="42"/>
      <c r="E39" s="42"/>
      <c r="F39" s="42"/>
      <c r="G39" s="42"/>
      <c r="H39" s="42"/>
      <c r="I39" s="42"/>
      <c r="J39" s="42"/>
      <c r="K39" s="42"/>
      <c r="L39" s="42"/>
      <c r="M39" s="42"/>
      <c r="Q39" s="42"/>
      <c r="S39" s="42"/>
      <c r="T39" s="42"/>
    </row>
    <row r="40" spans="3:20">
      <c r="C40" s="42"/>
      <c r="D40" s="42"/>
      <c r="E40" s="42"/>
      <c r="F40" s="42"/>
      <c r="G40" s="42"/>
      <c r="H40" s="42"/>
      <c r="I40" s="42"/>
      <c r="J40" s="42"/>
      <c r="K40" s="42"/>
      <c r="L40" s="42"/>
      <c r="M40" s="42"/>
      <c r="Q40" s="42"/>
      <c r="S40" s="42"/>
      <c r="T40" s="42"/>
    </row>
    <row r="41" spans="3:20">
      <c r="C41" s="42"/>
      <c r="D41" s="42"/>
      <c r="E41" s="42"/>
      <c r="F41" s="42"/>
      <c r="G41" s="42"/>
      <c r="H41" s="42"/>
      <c r="I41" s="42"/>
      <c r="J41" s="42"/>
      <c r="K41" s="42"/>
      <c r="L41" s="42"/>
      <c r="M41" s="42"/>
      <c r="Q41" s="42"/>
      <c r="S41" s="42"/>
      <c r="T41" s="42"/>
    </row>
    <row r="42" spans="3:20">
      <c r="C42" s="42"/>
      <c r="D42" s="42"/>
      <c r="E42" s="42"/>
      <c r="F42" s="42"/>
      <c r="G42" s="42"/>
      <c r="H42" s="42"/>
      <c r="I42" s="42"/>
      <c r="J42" s="42"/>
      <c r="K42" s="42"/>
      <c r="L42" s="42"/>
      <c r="M42" s="42"/>
      <c r="Q42" s="42"/>
      <c r="S42" s="42"/>
      <c r="T42" s="42"/>
    </row>
    <row r="43" spans="3:20">
      <c r="C43" s="42"/>
      <c r="D43" s="42"/>
      <c r="E43" s="42"/>
      <c r="F43" s="42"/>
      <c r="G43" s="42"/>
      <c r="H43" s="42"/>
      <c r="I43" s="42"/>
      <c r="J43" s="42"/>
      <c r="K43" s="42"/>
      <c r="L43" s="42"/>
      <c r="M43" s="42"/>
      <c r="Q43" s="42"/>
      <c r="S43" s="42"/>
      <c r="T43" s="42"/>
    </row>
    <row r="44" spans="3:20">
      <c r="C44" s="42"/>
      <c r="D44" s="42"/>
      <c r="E44" s="42"/>
      <c r="F44" s="42"/>
      <c r="G44" s="42"/>
      <c r="H44" s="42"/>
      <c r="I44" s="42"/>
      <c r="J44" s="42"/>
      <c r="K44" s="42"/>
      <c r="L44" s="42"/>
      <c r="M44" s="42"/>
      <c r="Q44" s="42"/>
      <c r="S44" s="42"/>
      <c r="T44" s="42"/>
    </row>
    <row r="45" spans="3:20">
      <c r="C45" s="42"/>
      <c r="D45" s="42"/>
      <c r="E45" s="42"/>
      <c r="F45" s="42"/>
      <c r="G45" s="42"/>
      <c r="H45" s="42"/>
      <c r="I45" s="42"/>
      <c r="J45" s="42"/>
      <c r="K45" s="42"/>
      <c r="L45" s="42"/>
      <c r="M45" s="42"/>
      <c r="Q45" s="42"/>
      <c r="S45" s="42"/>
      <c r="T45" s="42"/>
    </row>
    <row r="46" spans="3:20">
      <c r="C46" s="42"/>
      <c r="D46" s="42"/>
      <c r="E46" s="42"/>
      <c r="F46" s="42"/>
      <c r="G46" s="42"/>
      <c r="H46" s="42"/>
      <c r="I46" s="42"/>
      <c r="J46" s="42"/>
      <c r="K46" s="42"/>
      <c r="L46" s="42"/>
      <c r="M46" s="42"/>
      <c r="Q46" s="42"/>
      <c r="S46" s="42"/>
      <c r="T46" s="42"/>
    </row>
    <row r="47" spans="3:20">
      <c r="C47" s="42"/>
      <c r="D47" s="42"/>
      <c r="E47" s="42"/>
      <c r="F47" s="42"/>
      <c r="G47" s="42"/>
      <c r="H47" s="42"/>
      <c r="I47" s="42"/>
      <c r="J47" s="42"/>
      <c r="K47" s="42"/>
      <c r="L47" s="42"/>
      <c r="M47" s="42"/>
      <c r="Q47" s="42"/>
      <c r="S47" s="42"/>
      <c r="T47" s="42"/>
    </row>
    <row r="48" spans="3:20">
      <c r="C48" s="42"/>
      <c r="D48" s="42"/>
      <c r="E48" s="42"/>
      <c r="F48" s="42"/>
      <c r="G48" s="42"/>
      <c r="H48" s="42"/>
      <c r="I48" s="42"/>
      <c r="J48" s="42"/>
      <c r="K48" s="42"/>
      <c r="L48" s="42"/>
      <c r="M48" s="42"/>
      <c r="Q48" s="42"/>
      <c r="S48" s="42"/>
      <c r="T48" s="42"/>
    </row>
    <row r="49" spans="3:20">
      <c r="C49" s="42"/>
      <c r="D49" s="42"/>
      <c r="E49" s="42"/>
      <c r="F49" s="42"/>
      <c r="G49" s="42"/>
      <c r="H49" s="42"/>
      <c r="I49" s="42"/>
      <c r="J49" s="42"/>
      <c r="K49" s="42"/>
      <c r="L49" s="42"/>
      <c r="M49" s="42"/>
      <c r="Q49" s="42"/>
      <c r="S49" s="42"/>
      <c r="T49" s="42"/>
    </row>
    <row r="50" spans="3:20">
      <c r="C50" s="42"/>
      <c r="D50" s="42"/>
      <c r="E50" s="42"/>
      <c r="F50" s="42"/>
      <c r="G50" s="42"/>
      <c r="H50" s="42"/>
      <c r="I50" s="42"/>
      <c r="J50" s="42"/>
      <c r="K50" s="42"/>
      <c r="L50" s="42"/>
      <c r="M50" s="42"/>
      <c r="Q50" s="42"/>
      <c r="S50" s="42"/>
      <c r="T50" s="42"/>
    </row>
    <row r="51" spans="3:20">
      <c r="C51" s="42"/>
      <c r="D51" s="42"/>
      <c r="E51" s="42"/>
      <c r="F51" s="42"/>
      <c r="G51" s="42"/>
      <c r="H51" s="42"/>
      <c r="I51" s="42"/>
      <c r="J51" s="42"/>
      <c r="K51" s="42"/>
      <c r="L51" s="42"/>
      <c r="M51" s="42"/>
      <c r="Q51" s="42"/>
      <c r="S51" s="42"/>
      <c r="T51" s="42"/>
    </row>
    <row r="52" spans="3:20">
      <c r="C52" s="42"/>
      <c r="D52" s="42"/>
      <c r="E52" s="42"/>
      <c r="F52" s="42"/>
      <c r="G52" s="42"/>
      <c r="H52" s="42"/>
      <c r="I52" s="42"/>
      <c r="J52" s="42"/>
      <c r="K52" s="42"/>
      <c r="L52" s="42"/>
      <c r="M52" s="42"/>
      <c r="Q52" s="42"/>
      <c r="S52" s="42"/>
      <c r="T52" s="42"/>
    </row>
    <row r="53" spans="3:20">
      <c r="C53" s="42"/>
      <c r="D53" s="42"/>
      <c r="E53" s="42"/>
      <c r="F53" s="42"/>
      <c r="G53" s="42"/>
      <c r="H53" s="42"/>
      <c r="I53" s="42"/>
      <c r="J53" s="42"/>
      <c r="K53" s="42"/>
      <c r="L53" s="42"/>
      <c r="M53" s="42"/>
      <c r="Q53" s="42"/>
      <c r="S53" s="42"/>
      <c r="T53" s="42"/>
    </row>
    <row r="54" spans="3:20">
      <c r="C54" s="42"/>
      <c r="D54" s="42"/>
      <c r="E54" s="42"/>
      <c r="F54" s="42"/>
      <c r="G54" s="42"/>
      <c r="H54" s="42"/>
      <c r="I54" s="42"/>
      <c r="J54" s="42"/>
      <c r="K54" s="42"/>
      <c r="L54" s="42"/>
      <c r="M54" s="42"/>
      <c r="Q54" s="42"/>
      <c r="S54" s="42"/>
      <c r="T54" s="42"/>
    </row>
    <row r="55" spans="3:20">
      <c r="C55" s="42"/>
      <c r="D55" s="42"/>
      <c r="E55" s="42"/>
      <c r="F55" s="42"/>
      <c r="G55" s="42"/>
      <c r="H55" s="42"/>
      <c r="I55" s="42"/>
      <c r="J55" s="42"/>
      <c r="K55" s="42"/>
      <c r="L55" s="42"/>
      <c r="M55" s="42"/>
      <c r="Q55" s="42"/>
      <c r="S55" s="42"/>
      <c r="T55" s="42"/>
    </row>
    <row r="56" spans="3:20">
      <c r="C56" s="42"/>
      <c r="D56" s="42"/>
      <c r="E56" s="42"/>
      <c r="F56" s="42"/>
      <c r="G56" s="42"/>
      <c r="H56" s="42"/>
      <c r="I56" s="42"/>
      <c r="J56" s="42"/>
      <c r="K56" s="42"/>
      <c r="L56" s="42"/>
      <c r="M56" s="42"/>
      <c r="Q56" s="42"/>
      <c r="S56" s="42"/>
      <c r="T56" s="42"/>
    </row>
    <row r="57" spans="3:20">
      <c r="C57" s="42"/>
      <c r="D57" s="42"/>
      <c r="E57" s="42"/>
      <c r="F57" s="42"/>
      <c r="G57" s="42"/>
      <c r="H57" s="42"/>
      <c r="I57" s="42"/>
      <c r="J57" s="42"/>
      <c r="K57" s="42"/>
      <c r="L57" s="42"/>
      <c r="M57" s="42"/>
      <c r="Q57" s="42"/>
      <c r="S57" s="42"/>
      <c r="T57" s="42"/>
    </row>
    <row r="58" spans="3:20">
      <c r="C58" s="42"/>
      <c r="D58" s="42"/>
      <c r="E58" s="42"/>
      <c r="F58" s="42"/>
      <c r="G58" s="42"/>
      <c r="H58" s="42"/>
      <c r="I58" s="42"/>
      <c r="J58" s="42"/>
      <c r="K58" s="42"/>
      <c r="L58" s="42"/>
      <c r="M58" s="42"/>
      <c r="Q58" s="42"/>
      <c r="S58" s="42"/>
      <c r="T58" s="42"/>
    </row>
    <row r="59" spans="3:20">
      <c r="C59" s="42"/>
      <c r="D59" s="42"/>
      <c r="E59" s="42"/>
      <c r="F59" s="42"/>
      <c r="G59" s="42"/>
      <c r="H59" s="42"/>
      <c r="I59" s="42"/>
      <c r="J59" s="42"/>
      <c r="K59" s="42"/>
      <c r="L59" s="42"/>
      <c r="M59" s="42"/>
      <c r="Q59" s="42"/>
      <c r="S59" s="42"/>
      <c r="T59" s="42"/>
    </row>
    <row r="60" spans="3:20">
      <c r="C60" s="42"/>
      <c r="D60" s="42"/>
      <c r="E60" s="42"/>
      <c r="F60" s="42"/>
      <c r="G60" s="42"/>
      <c r="H60" s="42"/>
      <c r="I60" s="42"/>
      <c r="J60" s="42"/>
      <c r="K60" s="42"/>
      <c r="L60" s="42"/>
      <c r="M60" s="42"/>
      <c r="Q60" s="42"/>
      <c r="S60" s="42"/>
      <c r="T60" s="42"/>
    </row>
    <row r="61" spans="3:20">
      <c r="C61" s="42"/>
      <c r="D61" s="42"/>
      <c r="E61" s="42"/>
      <c r="F61" s="42"/>
      <c r="G61" s="42"/>
      <c r="H61" s="42"/>
      <c r="I61" s="42"/>
      <c r="J61" s="42"/>
      <c r="K61" s="42"/>
      <c r="L61" s="42"/>
      <c r="M61" s="42"/>
      <c r="Q61" s="42"/>
      <c r="S61" s="42"/>
      <c r="T61" s="42"/>
    </row>
  </sheetData>
  <hyperlinks>
    <hyperlink ref="M6" r:id="rId1" xr:uid="{00000000-0004-0000-0B00-000000000000}"/>
    <hyperlink ref="M12" r:id="rId2" xr:uid="{00000000-0004-0000-0B00-000001000000}"/>
    <hyperlink ref="M16" r:id="rId3" xr:uid="{00000000-0004-0000-0B00-000002000000}"/>
    <hyperlink ref="M17" r:id="rId4" xr:uid="{00000000-0004-0000-0B00-000003000000}"/>
    <hyperlink ref="M29" r:id="rId5" xr:uid="{00000000-0004-0000-0B00-000004000000}"/>
    <hyperlink ref="K5" r:id="rId6" xr:uid="{00000000-0004-0000-0B00-000005000000}"/>
    <hyperlink ref="K6" r:id="rId7" xr:uid="{00000000-0004-0000-0B00-000006000000}"/>
    <hyperlink ref="K11" r:id="rId8" xr:uid="{00000000-0004-0000-0B00-000007000000}"/>
    <hyperlink ref="K14" r:id="rId9" xr:uid="{00000000-0004-0000-0B00-000008000000}"/>
    <hyperlink ref="K18" r:id="rId10" xr:uid="{00000000-0004-0000-0B00-000009000000}"/>
  </hyperlinks>
  <pageMargins left="0.7" right="0.7" top="0.75" bottom="0.75" header="0.3" footer="0.3"/>
  <pageSetup paperSize="9" orientation="portrait" r:id="rId11"/>
  <tableParts count="1">
    <tablePart r:id="rId1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5">
    <tabColor theme="9" tint="-0.499984740745262"/>
  </sheetPr>
  <dimension ref="A1:S67"/>
  <sheetViews>
    <sheetView workbookViewId="0"/>
  </sheetViews>
  <sheetFormatPr baseColWidth="10" defaultColWidth="10.54296875" defaultRowHeight="14.5"/>
  <cols>
    <col min="1" max="1" width="16.54296875" style="8" customWidth="1"/>
    <col min="2" max="2" width="5" style="1" customWidth="1"/>
    <col min="3" max="3" width="24.81640625" style="1" customWidth="1"/>
    <col min="4" max="4" width="19.453125" style="1" customWidth="1"/>
    <col min="5" max="5" width="11.1796875" style="1" customWidth="1"/>
    <col min="6" max="6" width="21.453125" style="1" customWidth="1"/>
    <col min="7" max="7" width="16.453125" style="1" customWidth="1"/>
    <col min="8" max="8" width="24.453125" style="1" customWidth="1"/>
    <col min="9" max="9" width="10.54296875" style="1"/>
    <col min="10" max="10" width="12.453125" style="1" customWidth="1"/>
    <col min="11" max="11" width="25.453125" style="1" customWidth="1"/>
    <col min="12" max="12" width="18.81640625" style="1" customWidth="1"/>
    <col min="13" max="13" width="18.54296875" style="1" customWidth="1"/>
    <col min="16" max="16" width="43.54296875" customWidth="1"/>
    <col min="18" max="18" width="19.54296875" style="1" customWidth="1"/>
    <col min="19" max="19" width="35.453125" style="1" customWidth="1"/>
    <col min="20" max="16384" width="10.54296875" style="1"/>
  </cols>
  <sheetData>
    <row r="1" spans="1:17" ht="11.15" customHeight="1">
      <c r="N1" s="1"/>
      <c r="O1" s="1"/>
      <c r="P1" s="1"/>
      <c r="Q1" s="1"/>
    </row>
    <row r="2" spans="1:17" ht="20.149999999999999" customHeight="1">
      <c r="C2" s="54" t="s">
        <v>1121</v>
      </c>
      <c r="D2" s="54"/>
      <c r="E2" s="54"/>
      <c r="F2" s="54"/>
      <c r="G2" s="54"/>
      <c r="H2" s="54"/>
      <c r="I2" s="54"/>
      <c r="J2" s="54"/>
      <c r="K2" s="54"/>
      <c r="L2" s="54"/>
      <c r="M2" s="54"/>
      <c r="N2" s="54"/>
      <c r="O2" s="1"/>
      <c r="P2" s="1"/>
      <c r="Q2" s="1"/>
    </row>
    <row r="3" spans="1:17">
      <c r="N3" s="1"/>
      <c r="O3" s="1"/>
      <c r="P3" s="1"/>
      <c r="Q3" s="1"/>
    </row>
    <row r="4" spans="1:17" ht="77.25" customHeight="1">
      <c r="A4" s="9"/>
      <c r="C4" s="24" t="s">
        <v>18</v>
      </c>
      <c r="D4" s="23" t="s">
        <v>1022</v>
      </c>
      <c r="E4" s="23" t="s">
        <v>20</v>
      </c>
      <c r="F4" s="23" t="s">
        <v>21</v>
      </c>
      <c r="G4" s="22" t="s">
        <v>22</v>
      </c>
      <c r="H4" s="22" t="s">
        <v>23</v>
      </c>
      <c r="I4" s="23" t="s">
        <v>1023</v>
      </c>
      <c r="J4" s="24" t="s">
        <v>1024</v>
      </c>
      <c r="K4" s="23" t="s">
        <v>25</v>
      </c>
      <c r="L4" s="23" t="s">
        <v>1025</v>
      </c>
      <c r="M4" s="23" t="s">
        <v>1026</v>
      </c>
      <c r="N4" s="23" t="s">
        <v>53</v>
      </c>
      <c r="O4" s="23" t="s">
        <v>1122</v>
      </c>
      <c r="P4" s="23" t="s">
        <v>29</v>
      </c>
      <c r="Q4" s="1"/>
    </row>
    <row r="5" spans="1:17" ht="43.5">
      <c r="C5" s="27" t="s">
        <v>532</v>
      </c>
      <c r="D5" s="26" t="s">
        <v>1029</v>
      </c>
      <c r="E5" s="26" t="s">
        <v>977</v>
      </c>
      <c r="F5" s="27" t="s">
        <v>1123</v>
      </c>
      <c r="G5" s="26" t="s">
        <v>113</v>
      </c>
      <c r="H5" s="26" t="s">
        <v>997</v>
      </c>
      <c r="I5" s="27" t="s">
        <v>1031</v>
      </c>
      <c r="J5" s="27" t="s">
        <v>53</v>
      </c>
      <c r="K5" s="33" t="s">
        <v>667</v>
      </c>
      <c r="L5" s="26" t="s">
        <v>1001</v>
      </c>
      <c r="M5" s="33" t="s">
        <v>669</v>
      </c>
      <c r="N5" s="27" t="s">
        <v>1032</v>
      </c>
      <c r="O5" s="26" t="s">
        <v>161</v>
      </c>
      <c r="P5" s="55" t="s">
        <v>114</v>
      </c>
      <c r="Q5" s="1"/>
    </row>
    <row r="6" spans="1:17" ht="43.5">
      <c r="C6" s="27" t="s">
        <v>31</v>
      </c>
      <c r="D6" s="26" t="s">
        <v>1035</v>
      </c>
      <c r="E6" s="26" t="s">
        <v>622</v>
      </c>
      <c r="F6" s="27" t="s">
        <v>1036</v>
      </c>
      <c r="G6" s="26" t="s">
        <v>113</v>
      </c>
      <c r="H6" s="26" t="s">
        <v>636</v>
      </c>
      <c r="I6" s="27" t="s">
        <v>1031</v>
      </c>
      <c r="J6" s="27" t="s">
        <v>53</v>
      </c>
      <c r="K6" s="33" t="s">
        <v>1037</v>
      </c>
      <c r="L6" s="26" t="s">
        <v>1038</v>
      </c>
      <c r="M6" s="33" t="s">
        <v>639</v>
      </c>
      <c r="N6" s="27" t="s">
        <v>1039</v>
      </c>
      <c r="O6" s="26" t="s">
        <v>161</v>
      </c>
      <c r="P6" s="55" t="s">
        <v>1124</v>
      </c>
      <c r="Q6" s="1"/>
    </row>
    <row r="7" spans="1:17" ht="43.5">
      <c r="C7" s="27" t="s">
        <v>42</v>
      </c>
      <c r="D7" s="26" t="s">
        <v>1125</v>
      </c>
      <c r="E7" s="26" t="s">
        <v>772</v>
      </c>
      <c r="F7" s="27" t="s">
        <v>1047</v>
      </c>
      <c r="G7" s="26" t="s">
        <v>113</v>
      </c>
      <c r="H7" s="26" t="s">
        <v>1048</v>
      </c>
      <c r="I7" s="27" t="s">
        <v>1031</v>
      </c>
      <c r="J7" s="27" t="s">
        <v>53</v>
      </c>
      <c r="K7" s="33" t="s">
        <v>1049</v>
      </c>
      <c r="L7" s="26" t="s">
        <v>781</v>
      </c>
      <c r="M7" s="34"/>
      <c r="N7" s="27" t="s">
        <v>1032</v>
      </c>
      <c r="O7" s="26" t="s">
        <v>161</v>
      </c>
      <c r="P7" s="55" t="s">
        <v>114</v>
      </c>
      <c r="Q7" s="1"/>
    </row>
    <row r="8" spans="1:17" ht="72.5">
      <c r="C8" s="27" t="s">
        <v>119</v>
      </c>
      <c r="D8" s="26" t="s">
        <v>1126</v>
      </c>
      <c r="E8" s="26" t="s">
        <v>176</v>
      </c>
      <c r="F8" s="27" t="s">
        <v>1053</v>
      </c>
      <c r="G8" s="26" t="s">
        <v>113</v>
      </c>
      <c r="H8" s="26" t="s">
        <v>178</v>
      </c>
      <c r="I8" s="27" t="s">
        <v>1031</v>
      </c>
      <c r="J8" s="27" t="s">
        <v>53</v>
      </c>
      <c r="K8" s="33" t="s">
        <v>179</v>
      </c>
      <c r="L8" s="26" t="s">
        <v>180</v>
      </c>
      <c r="M8" s="33" t="s">
        <v>181</v>
      </c>
      <c r="N8" s="27" t="s">
        <v>1032</v>
      </c>
      <c r="O8" s="26" t="s">
        <v>161</v>
      </c>
      <c r="P8" s="55" t="s">
        <v>114</v>
      </c>
      <c r="Q8" s="1"/>
    </row>
    <row r="9" spans="1:17" ht="43.5">
      <c r="C9" s="27" t="s">
        <v>42</v>
      </c>
      <c r="D9" s="26" t="s">
        <v>695</v>
      </c>
      <c r="E9" s="26" t="s">
        <v>696</v>
      </c>
      <c r="F9" s="27" t="s">
        <v>1056</v>
      </c>
      <c r="G9" s="26" t="s">
        <v>113</v>
      </c>
      <c r="H9" s="26" t="s">
        <v>705</v>
      </c>
      <c r="I9" s="27" t="s">
        <v>1031</v>
      </c>
      <c r="J9" s="27" t="s">
        <v>53</v>
      </c>
      <c r="K9" s="33" t="s">
        <v>1057</v>
      </c>
      <c r="L9" s="26" t="s">
        <v>707</v>
      </c>
      <c r="M9" s="33" t="s">
        <v>1058</v>
      </c>
      <c r="N9" s="27" t="s">
        <v>1032</v>
      </c>
      <c r="O9" s="26" t="s">
        <v>161</v>
      </c>
      <c r="P9" s="55" t="s">
        <v>114</v>
      </c>
      <c r="Q9" s="1"/>
    </row>
    <row r="10" spans="1:17" ht="43.5">
      <c r="C10" s="27" t="s">
        <v>1063</v>
      </c>
      <c r="D10" s="26" t="s">
        <v>896</v>
      </c>
      <c r="E10" s="26" t="s">
        <v>897</v>
      </c>
      <c r="F10" s="27" t="s">
        <v>1064</v>
      </c>
      <c r="G10" s="26" t="s">
        <v>113</v>
      </c>
      <c r="H10" s="26" t="s">
        <v>898</v>
      </c>
      <c r="I10" s="27" t="s">
        <v>161</v>
      </c>
      <c r="J10" s="27" t="s">
        <v>53</v>
      </c>
      <c r="K10" s="33" t="s">
        <v>1127</v>
      </c>
      <c r="L10" s="26" t="s">
        <v>522</v>
      </c>
      <c r="M10" s="33" t="s">
        <v>523</v>
      </c>
      <c r="N10" s="27" t="s">
        <v>1032</v>
      </c>
      <c r="O10" s="26" t="s">
        <v>161</v>
      </c>
      <c r="P10" s="55" t="s">
        <v>114</v>
      </c>
      <c r="Q10" s="1"/>
    </row>
    <row r="11" spans="1:17" ht="72.5">
      <c r="C11" s="27" t="s">
        <v>119</v>
      </c>
      <c r="D11" s="26" t="s">
        <v>1128</v>
      </c>
      <c r="E11" s="26" t="s">
        <v>916</v>
      </c>
      <c r="F11" s="27" t="s">
        <v>1068</v>
      </c>
      <c r="G11" s="26" t="s">
        <v>113</v>
      </c>
      <c r="H11" s="26" t="s">
        <v>918</v>
      </c>
      <c r="I11" s="27" t="s">
        <v>1031</v>
      </c>
      <c r="J11" s="27" t="s">
        <v>53</v>
      </c>
      <c r="K11" s="33" t="s">
        <v>746</v>
      </c>
      <c r="L11" s="26" t="s">
        <v>1069</v>
      </c>
      <c r="M11" s="33" t="s">
        <v>748</v>
      </c>
      <c r="N11" s="27" t="s">
        <v>1032</v>
      </c>
      <c r="O11" s="26" t="s">
        <v>161</v>
      </c>
      <c r="P11" s="55" t="s">
        <v>114</v>
      </c>
      <c r="Q11" s="1"/>
    </row>
    <row r="12" spans="1:17" ht="116">
      <c r="C12" s="27" t="s">
        <v>42</v>
      </c>
      <c r="D12" s="26" t="s">
        <v>948</v>
      </c>
      <c r="E12" s="26" t="s">
        <v>320</v>
      </c>
      <c r="F12" s="27" t="s">
        <v>1129</v>
      </c>
      <c r="G12" s="26" t="s">
        <v>113</v>
      </c>
      <c r="H12" s="26" t="s">
        <v>1130</v>
      </c>
      <c r="I12" s="27" t="s">
        <v>1031</v>
      </c>
      <c r="J12" s="27" t="s">
        <v>53</v>
      </c>
      <c r="K12" s="33" t="s">
        <v>1131</v>
      </c>
      <c r="L12" s="26" t="s">
        <v>1132</v>
      </c>
      <c r="M12" s="33" t="s">
        <v>1133</v>
      </c>
      <c r="N12" s="27" t="s">
        <v>1032</v>
      </c>
      <c r="O12" s="26" t="s">
        <v>1031</v>
      </c>
      <c r="P12" s="55" t="s">
        <v>958</v>
      </c>
      <c r="Q12" s="1"/>
    </row>
    <row r="13" spans="1:17" ht="43.5">
      <c r="C13" s="27" t="s">
        <v>119</v>
      </c>
      <c r="D13" s="26" t="s">
        <v>1067</v>
      </c>
      <c r="E13" s="26" t="s">
        <v>916</v>
      </c>
      <c r="F13" s="27" t="s">
        <v>1079</v>
      </c>
      <c r="G13" s="26" t="s">
        <v>113</v>
      </c>
      <c r="H13" s="26" t="s">
        <v>1080</v>
      </c>
      <c r="I13" s="27" t="s">
        <v>1031</v>
      </c>
      <c r="J13" s="27" t="s">
        <v>53</v>
      </c>
      <c r="K13" s="33" t="s">
        <v>746</v>
      </c>
      <c r="L13" s="26" t="s">
        <v>1069</v>
      </c>
      <c r="M13" s="33" t="s">
        <v>748</v>
      </c>
      <c r="N13" s="27" t="s">
        <v>1032</v>
      </c>
      <c r="O13" s="26" t="s">
        <v>161</v>
      </c>
      <c r="P13" s="55" t="s">
        <v>114</v>
      </c>
      <c r="Q13" s="1"/>
    </row>
    <row r="14" spans="1:17" ht="116">
      <c r="C14" s="27" t="s">
        <v>1083</v>
      </c>
      <c r="D14" s="26" t="s">
        <v>418</v>
      </c>
      <c r="E14" s="26" t="s">
        <v>427</v>
      </c>
      <c r="F14" s="27" t="s">
        <v>1134</v>
      </c>
      <c r="G14" s="26" t="s">
        <v>113</v>
      </c>
      <c r="H14" s="26" t="s">
        <v>470</v>
      </c>
      <c r="I14" s="27" t="s">
        <v>161</v>
      </c>
      <c r="J14" s="27" t="s">
        <v>53</v>
      </c>
      <c r="K14" s="33" t="s">
        <v>471</v>
      </c>
      <c r="L14" s="26" t="s">
        <v>472</v>
      </c>
      <c r="M14" s="33" t="s">
        <v>473</v>
      </c>
      <c r="N14" s="27" t="s">
        <v>1032</v>
      </c>
      <c r="O14" s="26" t="s">
        <v>161</v>
      </c>
      <c r="P14" s="55" t="s">
        <v>114</v>
      </c>
      <c r="Q14" s="1"/>
    </row>
    <row r="15" spans="1:17" ht="43.5">
      <c r="C15" s="27" t="s">
        <v>42</v>
      </c>
      <c r="D15" s="26" t="s">
        <v>1125</v>
      </c>
      <c r="E15" s="26" t="s">
        <v>772</v>
      </c>
      <c r="F15" s="27" t="s">
        <v>1086</v>
      </c>
      <c r="G15" s="26" t="s">
        <v>113</v>
      </c>
      <c r="H15" s="26" t="s">
        <v>1087</v>
      </c>
      <c r="I15" s="27" t="s">
        <v>1031</v>
      </c>
      <c r="J15" s="27" t="s">
        <v>53</v>
      </c>
      <c r="K15" s="33" t="s">
        <v>775</v>
      </c>
      <c r="L15" s="26" t="s">
        <v>776</v>
      </c>
      <c r="M15" s="34"/>
      <c r="N15" s="27" t="s">
        <v>1032</v>
      </c>
      <c r="O15" s="26" t="s">
        <v>161</v>
      </c>
      <c r="P15" s="55" t="s">
        <v>114</v>
      </c>
      <c r="Q15" s="1"/>
    </row>
    <row r="16" spans="1:17" ht="58">
      <c r="C16" s="27" t="s">
        <v>119</v>
      </c>
      <c r="D16" s="26" t="s">
        <v>1128</v>
      </c>
      <c r="E16" s="26" t="s">
        <v>916</v>
      </c>
      <c r="F16" s="27" t="s">
        <v>1135</v>
      </c>
      <c r="G16" s="26" t="s">
        <v>113</v>
      </c>
      <c r="H16" s="26" t="s">
        <v>1090</v>
      </c>
      <c r="I16" s="27" t="s">
        <v>1031</v>
      </c>
      <c r="J16" s="27" t="s">
        <v>53</v>
      </c>
      <c r="K16" s="33" t="s">
        <v>746</v>
      </c>
      <c r="L16" s="26" t="s">
        <v>1069</v>
      </c>
      <c r="M16" s="33" t="s">
        <v>748</v>
      </c>
      <c r="N16" s="27" t="s">
        <v>1032</v>
      </c>
      <c r="O16" s="26" t="s">
        <v>161</v>
      </c>
      <c r="P16" s="55" t="s">
        <v>114</v>
      </c>
      <c r="Q16" s="1"/>
    </row>
    <row r="17" spans="3:19" ht="101.5">
      <c r="C17" s="27" t="s">
        <v>1098</v>
      </c>
      <c r="D17" s="26" t="s">
        <v>418</v>
      </c>
      <c r="E17" s="26" t="s">
        <v>427</v>
      </c>
      <c r="F17" s="27" t="s">
        <v>1099</v>
      </c>
      <c r="G17" s="26" t="s">
        <v>113</v>
      </c>
      <c r="H17" s="26" t="s">
        <v>448</v>
      </c>
      <c r="I17" s="27" t="s">
        <v>1031</v>
      </c>
      <c r="J17" s="27" t="s">
        <v>53</v>
      </c>
      <c r="K17" s="33" t="s">
        <v>449</v>
      </c>
      <c r="L17" s="26" t="s">
        <v>475</v>
      </c>
      <c r="M17" s="33" t="s">
        <v>451</v>
      </c>
      <c r="N17" s="27" t="s">
        <v>1032</v>
      </c>
      <c r="O17" s="26" t="s">
        <v>161</v>
      </c>
      <c r="P17" s="55" t="s">
        <v>114</v>
      </c>
      <c r="Q17" s="1"/>
    </row>
    <row r="18" spans="3:19" ht="29">
      <c r="C18" s="27" t="s">
        <v>42</v>
      </c>
      <c r="D18" s="26" t="s">
        <v>1136</v>
      </c>
      <c r="E18" s="26" t="s">
        <v>1137</v>
      </c>
      <c r="F18" s="27" t="s">
        <v>1138</v>
      </c>
      <c r="G18" s="26" t="s">
        <v>113</v>
      </c>
      <c r="H18" s="26" t="s">
        <v>1139</v>
      </c>
      <c r="I18" s="27" t="s">
        <v>1031</v>
      </c>
      <c r="J18" s="27" t="s">
        <v>53</v>
      </c>
      <c r="K18" s="33" t="s">
        <v>1140</v>
      </c>
      <c r="L18" s="26" t="s">
        <v>952</v>
      </c>
      <c r="M18" s="33" t="s">
        <v>1133</v>
      </c>
      <c r="N18" s="27" t="s">
        <v>1032</v>
      </c>
      <c r="O18" s="26" t="s">
        <v>1031</v>
      </c>
      <c r="P18" s="55" t="s">
        <v>1141</v>
      </c>
      <c r="Q18" s="1"/>
    </row>
    <row r="19" spans="3:19" ht="58">
      <c r="C19" s="27" t="s">
        <v>31</v>
      </c>
      <c r="D19" s="26" t="s">
        <v>1142</v>
      </c>
      <c r="E19" s="26" t="s">
        <v>494</v>
      </c>
      <c r="F19" s="27" t="s">
        <v>1143</v>
      </c>
      <c r="G19" s="26" t="s">
        <v>113</v>
      </c>
      <c r="H19" s="26" t="s">
        <v>511</v>
      </c>
      <c r="I19" s="27" t="s">
        <v>1031</v>
      </c>
      <c r="J19" s="27" t="s">
        <v>53</v>
      </c>
      <c r="K19" s="33" t="s">
        <v>512</v>
      </c>
      <c r="L19" s="26" t="s">
        <v>522</v>
      </c>
      <c r="M19" s="34"/>
      <c r="N19" s="27" t="s">
        <v>1032</v>
      </c>
      <c r="O19" s="26" t="s">
        <v>161</v>
      </c>
      <c r="P19" s="55" t="s">
        <v>114</v>
      </c>
      <c r="Q19" s="1"/>
    </row>
    <row r="20" spans="3:19" ht="43.5">
      <c r="C20" s="27" t="s">
        <v>31</v>
      </c>
      <c r="D20" s="26" t="s">
        <v>1144</v>
      </c>
      <c r="E20" s="26" t="s">
        <v>299</v>
      </c>
      <c r="F20" s="27" t="s">
        <v>1109</v>
      </c>
      <c r="G20" s="26" t="s">
        <v>113</v>
      </c>
      <c r="H20" s="26" t="s">
        <v>301</v>
      </c>
      <c r="I20" s="27" t="s">
        <v>1031</v>
      </c>
      <c r="J20" s="27" t="s">
        <v>36</v>
      </c>
      <c r="K20" s="33" t="s">
        <v>1110</v>
      </c>
      <c r="L20" s="26" t="s">
        <v>303</v>
      </c>
      <c r="M20" s="33" t="s">
        <v>304</v>
      </c>
      <c r="N20" s="27" t="s">
        <v>1032</v>
      </c>
      <c r="O20" s="26" t="s">
        <v>161</v>
      </c>
      <c r="P20" s="55" t="s">
        <v>114</v>
      </c>
      <c r="Q20" s="1"/>
    </row>
    <row r="21" spans="3:19" ht="43.5">
      <c r="C21" s="37" t="s">
        <v>1112</v>
      </c>
      <c r="D21" s="30" t="s">
        <v>1046</v>
      </c>
      <c r="E21" s="30" t="s">
        <v>1113</v>
      </c>
      <c r="F21" s="37" t="s">
        <v>1114</v>
      </c>
      <c r="G21" s="30" t="s">
        <v>113</v>
      </c>
      <c r="H21" s="30" t="s">
        <v>783</v>
      </c>
      <c r="I21" s="37" t="s">
        <v>1031</v>
      </c>
      <c r="J21" s="37" t="s">
        <v>53</v>
      </c>
      <c r="K21" s="35" t="s">
        <v>1049</v>
      </c>
      <c r="L21" s="30" t="s">
        <v>1145</v>
      </c>
      <c r="M21" s="36"/>
      <c r="N21" s="37" t="s">
        <v>1032</v>
      </c>
      <c r="O21" s="37" t="s">
        <v>161</v>
      </c>
      <c r="P21" s="55" t="s">
        <v>114</v>
      </c>
      <c r="Q21" s="1"/>
    </row>
    <row r="22" spans="3:19" ht="43.5">
      <c r="C22" s="30" t="s">
        <v>68</v>
      </c>
      <c r="D22" s="30" t="s">
        <v>69</v>
      </c>
      <c r="E22" s="30">
        <v>89011</v>
      </c>
      <c r="F22" s="30" t="s">
        <v>90</v>
      </c>
      <c r="G22" s="30" t="s">
        <v>113</v>
      </c>
      <c r="H22" s="30" t="s">
        <v>91</v>
      </c>
      <c r="I22" s="30" t="s">
        <v>1031</v>
      </c>
      <c r="J22" s="30" t="s">
        <v>53</v>
      </c>
      <c r="K22" s="40" t="s">
        <v>92</v>
      </c>
      <c r="L22" s="30" t="s">
        <v>111</v>
      </c>
      <c r="M22" s="40" t="s">
        <v>94</v>
      </c>
      <c r="N22" s="37" t="s">
        <v>1032</v>
      </c>
      <c r="O22" s="37" t="s">
        <v>161</v>
      </c>
      <c r="P22" s="55" t="s">
        <v>114</v>
      </c>
      <c r="R22" s="42"/>
      <c r="S22" s="42"/>
    </row>
    <row r="23" spans="3:19">
      <c r="C23" s="42"/>
      <c r="D23" s="42"/>
      <c r="E23" s="42"/>
      <c r="F23" s="42"/>
      <c r="G23" s="42"/>
      <c r="H23" s="42"/>
      <c r="I23" s="42"/>
      <c r="J23" s="42"/>
      <c r="K23" s="42"/>
      <c r="L23" s="42"/>
      <c r="M23" s="42"/>
      <c r="R23" s="42"/>
      <c r="S23" s="42"/>
    </row>
    <row r="24" spans="3:19">
      <c r="C24" s="42"/>
      <c r="D24" s="42"/>
      <c r="E24" s="42"/>
      <c r="F24" s="42"/>
      <c r="G24" s="42"/>
      <c r="H24" s="42"/>
      <c r="I24" s="42"/>
      <c r="J24" s="42"/>
      <c r="K24" s="42"/>
      <c r="L24" s="42"/>
      <c r="M24" s="42"/>
      <c r="R24" s="42"/>
      <c r="S24" s="42"/>
    </row>
    <row r="25" spans="3:19">
      <c r="C25" s="42"/>
      <c r="D25" s="42"/>
      <c r="E25" s="42"/>
      <c r="F25" s="42"/>
      <c r="G25" s="42"/>
      <c r="H25" s="42"/>
      <c r="I25" s="42"/>
      <c r="J25" s="42"/>
      <c r="K25" s="42"/>
      <c r="L25" s="42"/>
      <c r="M25" s="42"/>
      <c r="R25" s="42"/>
      <c r="S25" s="42"/>
    </row>
    <row r="26" spans="3:19">
      <c r="C26" s="42"/>
      <c r="D26" s="42"/>
      <c r="E26" s="42"/>
      <c r="F26" s="42"/>
      <c r="G26" s="42"/>
      <c r="H26" s="42"/>
      <c r="I26" s="42"/>
      <c r="J26" s="42"/>
      <c r="K26" s="42"/>
      <c r="L26" s="42"/>
      <c r="M26" s="42"/>
      <c r="R26" s="42"/>
      <c r="S26" s="42"/>
    </row>
    <row r="27" spans="3:19">
      <c r="C27" s="42"/>
      <c r="D27" s="42"/>
      <c r="E27" s="42"/>
      <c r="F27" s="42"/>
      <c r="G27" s="42"/>
      <c r="H27" s="42"/>
      <c r="I27" s="42"/>
      <c r="J27" s="42"/>
      <c r="K27" s="42"/>
      <c r="L27" s="42"/>
      <c r="M27" s="42"/>
      <c r="R27" s="42"/>
      <c r="S27" s="42"/>
    </row>
    <row r="28" spans="3:19">
      <c r="C28" s="42"/>
      <c r="D28" s="42"/>
      <c r="E28" s="42"/>
      <c r="F28" s="42"/>
      <c r="G28" s="42"/>
      <c r="H28" s="42"/>
      <c r="I28" s="42"/>
      <c r="J28" s="42"/>
      <c r="K28" s="42"/>
      <c r="L28" s="42"/>
      <c r="M28" s="42"/>
      <c r="R28" s="42"/>
      <c r="S28" s="42"/>
    </row>
    <row r="29" spans="3:19">
      <c r="C29" s="42"/>
      <c r="D29" s="42"/>
      <c r="E29" s="42"/>
      <c r="F29" s="42"/>
      <c r="G29" s="42"/>
      <c r="H29" s="42"/>
      <c r="I29" s="42"/>
      <c r="J29" s="42"/>
      <c r="K29" s="42"/>
      <c r="L29" s="42"/>
      <c r="M29" s="42"/>
      <c r="R29" s="42"/>
      <c r="S29" s="42"/>
    </row>
    <row r="30" spans="3:19">
      <c r="C30" s="42"/>
      <c r="D30" s="42"/>
      <c r="E30" s="42"/>
      <c r="F30" s="42"/>
      <c r="G30" s="42"/>
      <c r="H30" s="42"/>
      <c r="I30" s="42"/>
      <c r="J30" s="42"/>
      <c r="K30" s="42"/>
      <c r="L30" s="42"/>
      <c r="M30" s="42"/>
      <c r="R30" s="42"/>
      <c r="S30" s="42"/>
    </row>
    <row r="31" spans="3:19">
      <c r="C31" s="42"/>
      <c r="D31" s="42"/>
      <c r="E31" s="42"/>
      <c r="F31" s="42"/>
      <c r="G31" s="42"/>
      <c r="H31" s="42"/>
      <c r="I31" s="42"/>
      <c r="J31" s="42"/>
      <c r="K31" s="42"/>
      <c r="L31" s="42"/>
      <c r="M31" s="42"/>
      <c r="R31" s="42"/>
      <c r="S31" s="42"/>
    </row>
    <row r="32" spans="3:19">
      <c r="C32" s="42"/>
      <c r="D32" s="42"/>
      <c r="E32" s="42"/>
      <c r="F32" s="42"/>
      <c r="G32" s="42"/>
      <c r="H32" s="42"/>
      <c r="I32" s="42"/>
      <c r="J32" s="42"/>
      <c r="K32" s="42"/>
      <c r="L32" s="42"/>
      <c r="M32" s="42"/>
      <c r="R32" s="42"/>
      <c r="S32" s="42"/>
    </row>
    <row r="33" spans="3:19">
      <c r="C33" s="42"/>
      <c r="D33" s="42"/>
      <c r="E33" s="42"/>
      <c r="F33" s="42"/>
      <c r="G33" s="42"/>
      <c r="H33" s="42"/>
      <c r="I33" s="42"/>
      <c r="J33" s="42"/>
      <c r="K33" s="42"/>
      <c r="L33" s="42"/>
      <c r="M33" s="42"/>
      <c r="R33" s="42"/>
      <c r="S33" s="42"/>
    </row>
    <row r="34" spans="3:19">
      <c r="C34" s="42"/>
      <c r="D34" s="42"/>
      <c r="E34" s="42"/>
      <c r="F34" s="42"/>
      <c r="G34" s="42"/>
      <c r="H34" s="42"/>
      <c r="I34" s="42"/>
      <c r="J34" s="42"/>
      <c r="K34" s="42"/>
      <c r="L34" s="42"/>
      <c r="M34" s="42"/>
      <c r="R34" s="42"/>
      <c r="S34" s="42"/>
    </row>
    <row r="35" spans="3:19">
      <c r="C35" s="42"/>
      <c r="D35" s="42"/>
      <c r="E35" s="42"/>
      <c r="F35" s="42"/>
      <c r="G35" s="42"/>
      <c r="H35" s="42"/>
      <c r="I35" s="42"/>
      <c r="J35" s="42"/>
      <c r="K35" s="42"/>
      <c r="L35" s="42"/>
      <c r="M35" s="42"/>
      <c r="R35" s="42"/>
      <c r="S35" s="42"/>
    </row>
    <row r="36" spans="3:19">
      <c r="C36" s="42"/>
      <c r="D36" s="42"/>
      <c r="E36" s="42"/>
      <c r="F36" s="42"/>
      <c r="G36" s="42"/>
      <c r="H36" s="42"/>
      <c r="I36" s="42"/>
      <c r="J36" s="42"/>
      <c r="K36" s="42"/>
      <c r="L36" s="42"/>
      <c r="M36" s="42"/>
      <c r="R36" s="42"/>
      <c r="S36" s="42"/>
    </row>
    <row r="37" spans="3:19">
      <c r="C37" s="42"/>
      <c r="D37" s="42"/>
      <c r="E37" s="42"/>
      <c r="F37" s="42"/>
      <c r="G37" s="42"/>
      <c r="H37" s="42"/>
      <c r="I37" s="42"/>
      <c r="J37" s="42"/>
      <c r="K37" s="42"/>
      <c r="L37" s="42"/>
      <c r="M37" s="42"/>
      <c r="R37" s="42"/>
      <c r="S37" s="42"/>
    </row>
    <row r="38" spans="3:19">
      <c r="C38" s="42"/>
      <c r="D38" s="42"/>
      <c r="E38" s="42"/>
      <c r="F38" s="42"/>
      <c r="G38" s="42"/>
      <c r="H38" s="42"/>
      <c r="I38" s="42"/>
      <c r="J38" s="42"/>
      <c r="K38" s="42"/>
      <c r="L38" s="42"/>
      <c r="M38" s="42"/>
      <c r="R38" s="42"/>
      <c r="S38" s="42"/>
    </row>
    <row r="39" spans="3:19">
      <c r="C39" s="42"/>
      <c r="D39" s="42"/>
      <c r="E39" s="42"/>
      <c r="F39" s="42"/>
      <c r="G39" s="42"/>
      <c r="H39" s="42"/>
      <c r="I39" s="42"/>
      <c r="J39" s="42"/>
      <c r="K39" s="42"/>
      <c r="L39" s="42"/>
      <c r="M39" s="42"/>
      <c r="R39" s="42"/>
      <c r="S39" s="42"/>
    </row>
    <row r="40" spans="3:19">
      <c r="C40" s="42"/>
      <c r="D40" s="42"/>
      <c r="E40" s="42"/>
      <c r="F40" s="42"/>
      <c r="G40" s="42"/>
      <c r="H40" s="42"/>
      <c r="I40" s="42"/>
      <c r="J40" s="42"/>
      <c r="K40" s="42"/>
      <c r="L40" s="42"/>
      <c r="M40" s="42"/>
      <c r="R40" s="42"/>
      <c r="S40" s="42"/>
    </row>
    <row r="41" spans="3:19">
      <c r="C41" s="42"/>
      <c r="D41" s="42"/>
      <c r="E41" s="42"/>
      <c r="F41" s="42"/>
      <c r="G41" s="42"/>
      <c r="H41" s="42"/>
      <c r="I41" s="42"/>
      <c r="J41" s="42"/>
      <c r="K41" s="42"/>
      <c r="L41" s="42"/>
      <c r="M41" s="42"/>
      <c r="R41" s="42"/>
      <c r="S41" s="42"/>
    </row>
    <row r="42" spans="3:19">
      <c r="C42" s="42"/>
      <c r="D42" s="42"/>
      <c r="E42" s="42"/>
      <c r="F42" s="42"/>
      <c r="G42" s="42"/>
      <c r="H42" s="42"/>
      <c r="I42" s="42"/>
      <c r="J42" s="42"/>
      <c r="K42" s="42"/>
      <c r="L42" s="42"/>
      <c r="M42" s="42"/>
      <c r="R42" s="42"/>
      <c r="S42" s="42"/>
    </row>
    <row r="43" spans="3:19">
      <c r="C43" s="42"/>
      <c r="D43" s="42"/>
      <c r="E43" s="42"/>
      <c r="F43" s="42"/>
      <c r="G43" s="42"/>
      <c r="H43" s="42"/>
      <c r="I43" s="42"/>
      <c r="J43" s="42"/>
      <c r="K43" s="42"/>
      <c r="L43" s="42"/>
      <c r="M43" s="42"/>
      <c r="R43" s="42"/>
      <c r="S43" s="42"/>
    </row>
    <row r="44" spans="3:19">
      <c r="C44" s="42"/>
      <c r="D44" s="42"/>
      <c r="E44" s="42"/>
      <c r="F44" s="42"/>
      <c r="G44" s="42"/>
      <c r="H44" s="42"/>
      <c r="I44" s="42"/>
      <c r="J44" s="42"/>
      <c r="K44" s="42"/>
      <c r="L44" s="42"/>
      <c r="M44" s="42"/>
      <c r="R44" s="42"/>
      <c r="S44" s="42"/>
    </row>
    <row r="45" spans="3:19">
      <c r="C45" s="42"/>
      <c r="D45" s="42"/>
      <c r="E45" s="42"/>
      <c r="F45" s="42"/>
      <c r="G45" s="42"/>
      <c r="H45" s="42"/>
      <c r="I45" s="42"/>
      <c r="J45" s="42"/>
      <c r="K45" s="42"/>
      <c r="L45" s="42"/>
      <c r="M45" s="42"/>
      <c r="R45" s="42"/>
      <c r="S45" s="42"/>
    </row>
    <row r="46" spans="3:19">
      <c r="C46" s="42"/>
      <c r="D46" s="42"/>
      <c r="E46" s="42"/>
      <c r="F46" s="42"/>
      <c r="G46" s="42"/>
      <c r="H46" s="42"/>
      <c r="I46" s="42"/>
      <c r="J46" s="42"/>
      <c r="K46" s="42"/>
      <c r="L46" s="42"/>
      <c r="M46" s="42"/>
      <c r="R46" s="42"/>
      <c r="S46" s="42"/>
    </row>
    <row r="47" spans="3:19">
      <c r="C47" s="42"/>
      <c r="D47" s="42"/>
      <c r="E47" s="42"/>
      <c r="F47" s="42"/>
      <c r="G47" s="42"/>
      <c r="H47" s="42"/>
      <c r="I47" s="42"/>
      <c r="J47" s="42"/>
      <c r="K47" s="42"/>
      <c r="L47" s="42"/>
      <c r="M47" s="42"/>
      <c r="R47" s="42"/>
      <c r="S47" s="42"/>
    </row>
    <row r="48" spans="3:19">
      <c r="C48" s="42"/>
      <c r="D48" s="42"/>
      <c r="E48" s="42"/>
      <c r="F48" s="42"/>
      <c r="G48" s="42"/>
      <c r="H48" s="42"/>
      <c r="I48" s="42"/>
      <c r="J48" s="42"/>
      <c r="K48" s="42"/>
      <c r="L48" s="42"/>
      <c r="M48" s="42"/>
      <c r="R48" s="42"/>
      <c r="S48" s="42"/>
    </row>
    <row r="49" spans="3:19">
      <c r="C49" s="42"/>
      <c r="D49" s="42"/>
      <c r="E49" s="42"/>
      <c r="F49" s="42"/>
      <c r="G49" s="42"/>
      <c r="H49" s="42"/>
      <c r="I49" s="42"/>
      <c r="J49" s="42"/>
      <c r="K49" s="42"/>
      <c r="L49" s="42"/>
      <c r="M49" s="42"/>
      <c r="R49" s="42"/>
      <c r="S49" s="42"/>
    </row>
    <row r="50" spans="3:19">
      <c r="C50" s="42"/>
      <c r="D50" s="42"/>
      <c r="E50" s="42"/>
      <c r="F50" s="42"/>
      <c r="G50" s="42"/>
      <c r="H50" s="42"/>
      <c r="I50" s="42"/>
      <c r="J50" s="42"/>
      <c r="K50" s="42"/>
      <c r="L50" s="42"/>
      <c r="M50" s="42"/>
      <c r="R50" s="42"/>
      <c r="S50" s="42"/>
    </row>
    <row r="51" spans="3:19">
      <c r="C51" s="42"/>
      <c r="D51" s="42"/>
      <c r="E51" s="42"/>
      <c r="F51" s="42"/>
      <c r="G51" s="42"/>
      <c r="H51" s="42"/>
      <c r="I51" s="42"/>
      <c r="J51" s="42"/>
      <c r="K51" s="42"/>
      <c r="L51" s="42"/>
      <c r="M51" s="42"/>
      <c r="R51" s="42"/>
      <c r="S51" s="42"/>
    </row>
    <row r="52" spans="3:19">
      <c r="C52" s="42"/>
      <c r="D52" s="42"/>
      <c r="E52" s="42"/>
      <c r="F52" s="42"/>
      <c r="G52" s="42"/>
      <c r="H52" s="42"/>
      <c r="I52" s="42"/>
      <c r="J52" s="42"/>
      <c r="K52" s="42"/>
      <c r="L52" s="42"/>
      <c r="M52" s="42"/>
      <c r="R52" s="42"/>
      <c r="S52" s="42"/>
    </row>
    <row r="53" spans="3:19">
      <c r="C53" s="42"/>
      <c r="D53" s="42"/>
      <c r="E53" s="42"/>
      <c r="F53" s="42"/>
      <c r="G53" s="42"/>
      <c r="H53" s="42"/>
      <c r="I53" s="42"/>
      <c r="J53" s="42"/>
      <c r="K53" s="42"/>
      <c r="L53" s="42"/>
      <c r="M53" s="42"/>
      <c r="R53" s="42"/>
      <c r="S53" s="42"/>
    </row>
    <row r="54" spans="3:19">
      <c r="C54" s="42"/>
      <c r="D54" s="42"/>
      <c r="E54" s="42"/>
      <c r="F54" s="42"/>
      <c r="G54" s="42"/>
      <c r="H54" s="42"/>
      <c r="I54" s="42"/>
      <c r="J54" s="42"/>
      <c r="K54" s="42"/>
      <c r="L54" s="42"/>
      <c r="M54" s="42"/>
      <c r="R54" s="42"/>
      <c r="S54" s="42"/>
    </row>
    <row r="55" spans="3:19">
      <c r="C55" s="42"/>
      <c r="D55" s="42"/>
      <c r="E55" s="42"/>
      <c r="F55" s="42"/>
      <c r="G55" s="42"/>
      <c r="H55" s="42"/>
      <c r="I55" s="42"/>
      <c r="J55" s="42"/>
      <c r="K55" s="42"/>
      <c r="L55" s="42"/>
      <c r="M55" s="42"/>
      <c r="R55" s="42"/>
      <c r="S55" s="42"/>
    </row>
    <row r="56" spans="3:19">
      <c r="C56" s="42"/>
      <c r="D56" s="42"/>
      <c r="E56" s="42"/>
      <c r="F56" s="42"/>
      <c r="G56" s="42"/>
      <c r="H56" s="42"/>
      <c r="I56" s="42"/>
      <c r="J56" s="42"/>
      <c r="K56" s="42"/>
      <c r="L56" s="42"/>
      <c r="M56" s="42"/>
      <c r="R56" s="42"/>
      <c r="S56" s="42"/>
    </row>
    <row r="57" spans="3:19">
      <c r="C57" s="42"/>
      <c r="D57" s="42"/>
      <c r="E57" s="42"/>
      <c r="F57" s="42"/>
      <c r="G57" s="42"/>
      <c r="H57" s="42"/>
      <c r="I57" s="42"/>
      <c r="J57" s="42"/>
      <c r="K57" s="42"/>
      <c r="L57" s="42"/>
      <c r="M57" s="42"/>
      <c r="R57" s="42"/>
      <c r="S57" s="42"/>
    </row>
    <row r="58" spans="3:19">
      <c r="C58" s="42"/>
      <c r="D58" s="42"/>
      <c r="E58" s="42"/>
      <c r="F58" s="42"/>
      <c r="G58" s="42"/>
      <c r="H58" s="42"/>
      <c r="I58" s="42"/>
      <c r="J58" s="42"/>
      <c r="K58" s="42"/>
      <c r="L58" s="42"/>
      <c r="M58" s="42"/>
      <c r="R58" s="42"/>
      <c r="S58" s="42"/>
    </row>
    <row r="59" spans="3:19">
      <c r="C59" s="42"/>
      <c r="D59" s="42"/>
      <c r="E59" s="42"/>
      <c r="F59" s="42"/>
      <c r="G59" s="42"/>
      <c r="H59" s="42"/>
      <c r="I59" s="42"/>
      <c r="J59" s="42"/>
      <c r="K59" s="42"/>
      <c r="L59" s="42"/>
      <c r="M59" s="42"/>
      <c r="R59" s="42"/>
      <c r="S59" s="42"/>
    </row>
    <row r="60" spans="3:19">
      <c r="C60" s="42"/>
      <c r="D60" s="42"/>
      <c r="E60" s="42"/>
      <c r="F60" s="42"/>
      <c r="G60" s="42"/>
      <c r="H60" s="42"/>
      <c r="I60" s="42"/>
      <c r="J60" s="42"/>
      <c r="K60" s="42"/>
      <c r="L60" s="42"/>
      <c r="M60" s="42"/>
      <c r="R60" s="42"/>
      <c r="S60" s="42"/>
    </row>
    <row r="61" spans="3:19">
      <c r="C61" s="42"/>
      <c r="D61" s="42"/>
      <c r="E61" s="42"/>
      <c r="F61" s="42"/>
      <c r="G61" s="42"/>
      <c r="H61" s="42"/>
      <c r="I61" s="42"/>
      <c r="J61" s="42"/>
      <c r="K61" s="42"/>
      <c r="L61" s="42"/>
      <c r="M61" s="42"/>
      <c r="R61" s="42"/>
      <c r="S61" s="42"/>
    </row>
    <row r="62" spans="3:19">
      <c r="C62" s="42"/>
      <c r="D62" s="42"/>
      <c r="E62" s="42"/>
      <c r="F62" s="42"/>
      <c r="G62" s="42"/>
      <c r="H62" s="42"/>
      <c r="I62" s="42"/>
      <c r="J62" s="42"/>
      <c r="K62" s="42"/>
      <c r="L62" s="42"/>
      <c r="M62" s="42"/>
      <c r="R62" s="42"/>
      <c r="S62" s="42"/>
    </row>
    <row r="63" spans="3:19">
      <c r="C63" s="42"/>
      <c r="D63" s="42"/>
      <c r="E63" s="42"/>
      <c r="F63" s="42"/>
      <c r="G63" s="42"/>
      <c r="H63" s="42"/>
      <c r="I63" s="42"/>
      <c r="J63" s="42"/>
      <c r="K63" s="42"/>
      <c r="L63" s="42"/>
      <c r="M63" s="42"/>
      <c r="R63" s="42"/>
      <c r="S63" s="42"/>
    </row>
    <row r="64" spans="3:19">
      <c r="C64" s="42"/>
      <c r="D64" s="42"/>
      <c r="E64" s="42"/>
      <c r="F64" s="42"/>
      <c r="G64" s="42"/>
      <c r="H64" s="42"/>
      <c r="I64" s="42"/>
      <c r="J64" s="42"/>
      <c r="K64" s="42"/>
      <c r="L64" s="42"/>
      <c r="M64" s="42"/>
      <c r="R64" s="42"/>
      <c r="S64" s="42"/>
    </row>
    <row r="65" spans="3:19">
      <c r="C65" s="42"/>
      <c r="D65" s="42"/>
      <c r="E65" s="42"/>
      <c r="F65" s="42"/>
      <c r="G65" s="42"/>
      <c r="H65" s="42"/>
      <c r="I65" s="42"/>
      <c r="J65" s="42"/>
      <c r="K65" s="42"/>
      <c r="L65" s="42"/>
      <c r="M65" s="42"/>
      <c r="R65" s="42"/>
      <c r="S65" s="42"/>
    </row>
    <row r="66" spans="3:19">
      <c r="C66" s="42"/>
      <c r="D66" s="42"/>
      <c r="E66" s="42"/>
      <c r="F66" s="42"/>
      <c r="G66" s="42"/>
      <c r="H66" s="42"/>
      <c r="I66" s="42"/>
      <c r="J66" s="42"/>
      <c r="K66" s="42"/>
      <c r="L66" s="42"/>
      <c r="M66" s="42"/>
      <c r="R66" s="42"/>
      <c r="S66" s="42"/>
    </row>
    <row r="67" spans="3:19">
      <c r="C67" s="42"/>
      <c r="D67" s="42"/>
      <c r="E67" s="42"/>
      <c r="F67" s="42"/>
      <c r="G67" s="42"/>
      <c r="H67" s="42"/>
      <c r="I67" s="42"/>
      <c r="J67" s="42"/>
      <c r="K67" s="42"/>
      <c r="L67" s="42"/>
      <c r="M67" s="42"/>
      <c r="R67" s="42"/>
      <c r="S67" s="42"/>
    </row>
  </sheetData>
  <hyperlinks>
    <hyperlink ref="M6" r:id="rId1" xr:uid="{00000000-0004-0000-0C00-000000000000}"/>
    <hyperlink ref="M10" r:id="rId2" xr:uid="{00000000-0004-0000-0C00-000001000000}"/>
    <hyperlink ref="M14" r:id="rId3" xr:uid="{00000000-0004-0000-0C00-000002000000}"/>
    <hyperlink ref="M22" r:id="rId4" xr:uid="{00000000-0004-0000-0C00-000003000000}"/>
    <hyperlink ref="K5" r:id="rId5" xr:uid="{00000000-0004-0000-0C00-000004000000}"/>
    <hyperlink ref="K6" r:id="rId6" xr:uid="{00000000-0004-0000-0C00-000005000000}"/>
    <hyperlink ref="K8" r:id="rId7" xr:uid="{00000000-0004-0000-0C00-000006000000}"/>
    <hyperlink ref="K10" r:id="rId8" xr:uid="{00000000-0004-0000-0C00-000007000000}"/>
    <hyperlink ref="K18" r:id="rId9" xr:uid="{00000000-0004-0000-0C00-000008000000}"/>
    <hyperlink ref="K15" r:id="rId10" xr:uid="{00000000-0004-0000-0C00-000009000000}"/>
  </hyperlinks>
  <pageMargins left="0.7" right="0.7" top="0.75" bottom="0.75" header="0.3" footer="0.3"/>
  <pageSetup paperSize="9" orientation="portrait" r:id="rId11"/>
  <tableParts count="1">
    <tablePart r:id="rId1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6">
    <tabColor theme="9" tint="-0.499984740745262"/>
  </sheetPr>
  <dimension ref="A1:S133"/>
  <sheetViews>
    <sheetView workbookViewId="0"/>
  </sheetViews>
  <sheetFormatPr baseColWidth="10" defaultColWidth="10.54296875" defaultRowHeight="14.5"/>
  <cols>
    <col min="1" max="1" width="16.54296875" style="8" customWidth="1"/>
    <col min="2" max="2" width="5" style="1" customWidth="1"/>
    <col min="3" max="3" width="12.54296875" style="1" customWidth="1"/>
    <col min="4" max="4" width="13.453125" style="1" customWidth="1"/>
    <col min="5" max="5" width="11.1796875" style="1" customWidth="1"/>
    <col min="7" max="7" width="16.453125" style="1" customWidth="1"/>
    <col min="8" max="8" width="22.54296875" style="1" customWidth="1"/>
    <col min="9" max="9" width="17.453125" style="1" customWidth="1"/>
    <col min="10" max="10" width="12.453125" style="1" customWidth="1"/>
    <col min="11" max="11" width="25.453125" style="1" customWidth="1"/>
    <col min="12" max="12" width="18.81640625" style="1" customWidth="1"/>
    <col min="13" max="13" width="25.453125" style="1" customWidth="1"/>
    <col min="15" max="15" width="28.453125" customWidth="1"/>
    <col min="16" max="16" width="15.453125" customWidth="1"/>
    <col min="17" max="17" width="29.453125" style="1" customWidth="1"/>
    <col min="18" max="18" width="22.453125" style="1" customWidth="1"/>
    <col min="19" max="19" width="53.1796875" style="1" customWidth="1"/>
    <col min="20" max="16384" width="10.54296875" style="1"/>
  </cols>
  <sheetData>
    <row r="1" spans="1:16" ht="11.15" customHeight="1">
      <c r="F1" s="1"/>
      <c r="N1" s="1"/>
      <c r="O1" s="1"/>
      <c r="P1" s="1"/>
    </row>
    <row r="2" spans="1:16" ht="20.149999999999999" customHeight="1">
      <c r="C2" s="54" t="s">
        <v>1146</v>
      </c>
      <c r="D2" s="54"/>
      <c r="E2" s="54"/>
      <c r="F2" s="54"/>
      <c r="G2" s="54"/>
      <c r="H2" s="54"/>
      <c r="I2" s="54"/>
      <c r="J2" s="54"/>
      <c r="K2" s="54"/>
      <c r="L2" s="54"/>
      <c r="M2" s="54"/>
      <c r="N2" s="54"/>
      <c r="O2" s="1"/>
      <c r="P2" s="1"/>
    </row>
    <row r="3" spans="1:16">
      <c r="F3" s="1"/>
      <c r="N3" s="1"/>
      <c r="O3" s="1"/>
      <c r="P3" s="1"/>
    </row>
    <row r="4" spans="1:16" ht="29">
      <c r="A4" s="9"/>
      <c r="C4" s="24" t="s">
        <v>18</v>
      </c>
      <c r="D4" s="23" t="s">
        <v>1022</v>
      </c>
      <c r="E4" s="23" t="s">
        <v>20</v>
      </c>
      <c r="F4" s="23" t="s">
        <v>1147</v>
      </c>
      <c r="G4" s="22" t="s">
        <v>22</v>
      </c>
      <c r="H4" s="22" t="s">
        <v>23</v>
      </c>
      <c r="I4" s="23" t="s">
        <v>1023</v>
      </c>
      <c r="J4" s="24" t="s">
        <v>1024</v>
      </c>
      <c r="K4" s="23" t="s">
        <v>25</v>
      </c>
      <c r="L4" s="23" t="s">
        <v>1148</v>
      </c>
      <c r="M4" s="23" t="s">
        <v>1026</v>
      </c>
      <c r="N4" s="23" t="s">
        <v>53</v>
      </c>
      <c r="O4" s="23" t="s">
        <v>29</v>
      </c>
      <c r="P4" s="1"/>
    </row>
    <row r="5" spans="1:16" ht="101.5">
      <c r="C5" s="28" t="s">
        <v>532</v>
      </c>
      <c r="D5" s="26" t="s">
        <v>1029</v>
      </c>
      <c r="E5" s="26" t="s">
        <v>977</v>
      </c>
      <c r="F5" s="28" t="s">
        <v>1149</v>
      </c>
      <c r="G5" s="26" t="s">
        <v>60</v>
      </c>
      <c r="H5" s="26" t="s">
        <v>997</v>
      </c>
      <c r="I5" s="28" t="s">
        <v>1031</v>
      </c>
      <c r="J5" s="32" t="s">
        <v>53</v>
      </c>
      <c r="K5" s="33" t="s">
        <v>667</v>
      </c>
      <c r="L5" s="26" t="s">
        <v>998</v>
      </c>
      <c r="M5" s="33" t="s">
        <v>669</v>
      </c>
      <c r="N5" s="28" t="s">
        <v>1032</v>
      </c>
      <c r="O5" s="55" t="s">
        <v>999</v>
      </c>
      <c r="P5" s="1"/>
    </row>
    <row r="6" spans="1:16" ht="145">
      <c r="C6" s="26" t="s">
        <v>31</v>
      </c>
      <c r="D6" s="26" t="s">
        <v>1035</v>
      </c>
      <c r="E6" s="26" t="s">
        <v>622</v>
      </c>
      <c r="F6" s="26" t="s">
        <v>1149</v>
      </c>
      <c r="G6" s="26" t="s">
        <v>60</v>
      </c>
      <c r="H6" s="26" t="s">
        <v>636</v>
      </c>
      <c r="I6" s="26" t="s">
        <v>1031</v>
      </c>
      <c r="J6" s="29" t="s">
        <v>53</v>
      </c>
      <c r="K6" s="33" t="s">
        <v>1037</v>
      </c>
      <c r="L6" s="26" t="s">
        <v>1150</v>
      </c>
      <c r="M6" s="33" t="s">
        <v>639</v>
      </c>
      <c r="N6" s="26" t="s">
        <v>1032</v>
      </c>
      <c r="O6" s="56" t="s">
        <v>649</v>
      </c>
      <c r="P6" s="1"/>
    </row>
    <row r="7" spans="1:16" ht="58">
      <c r="C7" s="26" t="s">
        <v>42</v>
      </c>
      <c r="D7" s="26" t="s">
        <v>43</v>
      </c>
      <c r="E7" s="26" t="s">
        <v>50</v>
      </c>
      <c r="F7" s="26" t="s">
        <v>1149</v>
      </c>
      <c r="G7" s="26" t="s">
        <v>60</v>
      </c>
      <c r="H7" s="26" t="s">
        <v>52</v>
      </c>
      <c r="I7" s="26" t="s">
        <v>1031</v>
      </c>
      <c r="J7" s="29" t="s">
        <v>53</v>
      </c>
      <c r="K7" s="33" t="s">
        <v>1151</v>
      </c>
      <c r="L7" s="26" t="s">
        <v>55</v>
      </c>
      <c r="M7" s="34"/>
      <c r="N7" s="26" t="s">
        <v>1032</v>
      </c>
      <c r="O7" s="56" t="s">
        <v>61</v>
      </c>
      <c r="P7" s="1"/>
    </row>
    <row r="8" spans="1:16" ht="58">
      <c r="C8" s="26" t="s">
        <v>42</v>
      </c>
      <c r="D8" s="26" t="s">
        <v>1125</v>
      </c>
      <c r="E8" s="26" t="s">
        <v>772</v>
      </c>
      <c r="F8" s="26" t="s">
        <v>1149</v>
      </c>
      <c r="G8" s="26" t="s">
        <v>60</v>
      </c>
      <c r="H8" s="26" t="s">
        <v>1048</v>
      </c>
      <c r="I8" s="26" t="s">
        <v>1031</v>
      </c>
      <c r="J8" s="29" t="s">
        <v>53</v>
      </c>
      <c r="K8" s="33" t="s">
        <v>1049</v>
      </c>
      <c r="L8" s="26" t="s">
        <v>776</v>
      </c>
      <c r="M8" s="34"/>
      <c r="N8" s="26" t="s">
        <v>1032</v>
      </c>
      <c r="O8" s="56" t="s">
        <v>1152</v>
      </c>
      <c r="P8" s="1"/>
    </row>
    <row r="9" spans="1:16" ht="58">
      <c r="C9" s="26" t="s">
        <v>119</v>
      </c>
      <c r="D9" s="26" t="s">
        <v>1126</v>
      </c>
      <c r="E9" s="26" t="s">
        <v>176</v>
      </c>
      <c r="F9" s="26" t="s">
        <v>1149</v>
      </c>
      <c r="G9" s="26" t="s">
        <v>60</v>
      </c>
      <c r="H9" s="26" t="s">
        <v>178</v>
      </c>
      <c r="I9" s="26" t="s">
        <v>1031</v>
      </c>
      <c r="J9" s="29" t="s">
        <v>53</v>
      </c>
      <c r="K9" s="33" t="s">
        <v>179</v>
      </c>
      <c r="L9" s="26" t="s">
        <v>180</v>
      </c>
      <c r="M9" s="33" t="s">
        <v>181</v>
      </c>
      <c r="N9" s="26" t="s">
        <v>1032</v>
      </c>
      <c r="O9" s="56" t="s">
        <v>184</v>
      </c>
      <c r="P9" s="1"/>
    </row>
    <row r="10" spans="1:16" ht="261">
      <c r="C10" s="26" t="s">
        <v>42</v>
      </c>
      <c r="D10" s="26" t="s">
        <v>695</v>
      </c>
      <c r="E10" s="26" t="s">
        <v>696</v>
      </c>
      <c r="F10" s="26" t="s">
        <v>1149</v>
      </c>
      <c r="G10" s="26" t="s">
        <v>60</v>
      </c>
      <c r="H10" s="26" t="s">
        <v>705</v>
      </c>
      <c r="I10" s="26" t="s">
        <v>1031</v>
      </c>
      <c r="J10" s="29" t="s">
        <v>53</v>
      </c>
      <c r="K10" s="33" t="s">
        <v>1057</v>
      </c>
      <c r="L10" s="26" t="s">
        <v>707</v>
      </c>
      <c r="M10" s="33" t="s">
        <v>1058</v>
      </c>
      <c r="N10" s="26" t="s">
        <v>1032</v>
      </c>
      <c r="O10" s="26" t="s">
        <v>1153</v>
      </c>
      <c r="P10" s="1"/>
    </row>
    <row r="11" spans="1:16" ht="58">
      <c r="C11" s="26" t="s">
        <v>42</v>
      </c>
      <c r="D11" s="26" t="s">
        <v>1154</v>
      </c>
      <c r="E11" s="26" t="s">
        <v>320</v>
      </c>
      <c r="F11" s="26" t="s">
        <v>1155</v>
      </c>
      <c r="G11" s="26" t="s">
        <v>60</v>
      </c>
      <c r="H11" s="26" t="s">
        <v>332</v>
      </c>
      <c r="I11" s="26" t="s">
        <v>1031</v>
      </c>
      <c r="J11" s="29" t="s">
        <v>53</v>
      </c>
      <c r="K11" s="33" t="s">
        <v>333</v>
      </c>
      <c r="L11" s="26" t="s">
        <v>339</v>
      </c>
      <c r="M11" s="34"/>
      <c r="N11" s="26" t="s">
        <v>1032</v>
      </c>
      <c r="O11" s="56" t="s">
        <v>340</v>
      </c>
      <c r="P11" s="1"/>
    </row>
    <row r="12" spans="1:16" ht="116">
      <c r="C12" s="26" t="s">
        <v>1063</v>
      </c>
      <c r="D12" s="26" t="s">
        <v>896</v>
      </c>
      <c r="E12" s="26" t="s">
        <v>897</v>
      </c>
      <c r="F12" s="26" t="s">
        <v>1149</v>
      </c>
      <c r="G12" s="26" t="s">
        <v>60</v>
      </c>
      <c r="H12" s="26" t="s">
        <v>898</v>
      </c>
      <c r="I12" s="26" t="s">
        <v>161</v>
      </c>
      <c r="J12" s="29" t="s">
        <v>53</v>
      </c>
      <c r="K12" s="33" t="s">
        <v>521</v>
      </c>
      <c r="L12" s="26" t="s">
        <v>513</v>
      </c>
      <c r="M12" s="33" t="s">
        <v>523</v>
      </c>
      <c r="N12" s="26" t="s">
        <v>1032</v>
      </c>
      <c r="O12" s="56" t="s">
        <v>899</v>
      </c>
      <c r="P12" s="1"/>
    </row>
    <row r="13" spans="1:16" ht="58">
      <c r="C13" s="26" t="s">
        <v>119</v>
      </c>
      <c r="D13" s="26" t="s">
        <v>1128</v>
      </c>
      <c r="E13" s="26" t="s">
        <v>916</v>
      </c>
      <c r="F13" s="26" t="s">
        <v>1149</v>
      </c>
      <c r="G13" s="26" t="s">
        <v>60</v>
      </c>
      <c r="H13" s="26" t="s">
        <v>918</v>
      </c>
      <c r="I13" s="26" t="s">
        <v>1031</v>
      </c>
      <c r="J13" s="29" t="s">
        <v>53</v>
      </c>
      <c r="K13" s="33" t="s">
        <v>746</v>
      </c>
      <c r="L13" s="26" t="s">
        <v>1156</v>
      </c>
      <c r="M13" s="33" t="s">
        <v>748</v>
      </c>
      <c r="N13" s="26" t="s">
        <v>1032</v>
      </c>
      <c r="O13" s="56" t="s">
        <v>1157</v>
      </c>
      <c r="P13" s="1"/>
    </row>
    <row r="14" spans="1:16" ht="58">
      <c r="C14" s="26" t="s">
        <v>68</v>
      </c>
      <c r="D14" s="26" t="s">
        <v>921</v>
      </c>
      <c r="E14" s="26" t="s">
        <v>927</v>
      </c>
      <c r="F14" s="26" t="s">
        <v>1149</v>
      </c>
      <c r="G14" s="26" t="s">
        <v>60</v>
      </c>
      <c r="H14" s="26" t="s">
        <v>929</v>
      </c>
      <c r="I14" s="26" t="s">
        <v>1031</v>
      </c>
      <c r="J14" s="29" t="s">
        <v>53</v>
      </c>
      <c r="K14" s="33" t="s">
        <v>1073</v>
      </c>
      <c r="L14" s="26" t="s">
        <v>931</v>
      </c>
      <c r="M14" s="33" t="s">
        <v>932</v>
      </c>
      <c r="N14" s="26" t="s">
        <v>1032</v>
      </c>
      <c r="O14" s="56" t="s">
        <v>944</v>
      </c>
      <c r="P14" s="1"/>
    </row>
    <row r="15" spans="1:16" ht="130.5">
      <c r="C15" s="26" t="s">
        <v>357</v>
      </c>
      <c r="D15" s="26" t="s">
        <v>1158</v>
      </c>
      <c r="E15" s="26" t="s">
        <v>398</v>
      </c>
      <c r="F15" s="26" t="s">
        <v>1149</v>
      </c>
      <c r="G15" s="26" t="s">
        <v>60</v>
      </c>
      <c r="H15" s="26" t="s">
        <v>400</v>
      </c>
      <c r="I15" s="26" t="s">
        <v>1031</v>
      </c>
      <c r="J15" s="29" t="s">
        <v>53</v>
      </c>
      <c r="K15" s="33" t="s">
        <v>411</v>
      </c>
      <c r="L15" s="26" t="s">
        <v>402</v>
      </c>
      <c r="M15" s="33" t="s">
        <v>403</v>
      </c>
      <c r="N15" s="26" t="s">
        <v>1032</v>
      </c>
      <c r="O15" s="56" t="s">
        <v>409</v>
      </c>
      <c r="P15" s="1"/>
    </row>
    <row r="16" spans="1:16" ht="87">
      <c r="C16" s="26" t="s">
        <v>119</v>
      </c>
      <c r="D16" s="26" t="s">
        <v>1067</v>
      </c>
      <c r="E16" s="26" t="s">
        <v>916</v>
      </c>
      <c r="F16" s="26" t="s">
        <v>1149</v>
      </c>
      <c r="G16" s="26" t="s">
        <v>60</v>
      </c>
      <c r="H16" s="26" t="s">
        <v>1080</v>
      </c>
      <c r="I16" s="26" t="s">
        <v>1031</v>
      </c>
      <c r="J16" s="29" t="s">
        <v>53</v>
      </c>
      <c r="K16" s="33" t="s">
        <v>746</v>
      </c>
      <c r="L16" s="26" t="s">
        <v>1159</v>
      </c>
      <c r="M16" s="33" t="s">
        <v>748</v>
      </c>
      <c r="N16" s="26" t="s">
        <v>1032</v>
      </c>
      <c r="O16" s="56" t="s">
        <v>1160</v>
      </c>
      <c r="P16" s="1"/>
    </row>
    <row r="17" spans="3:19" ht="101.5">
      <c r="C17" s="26" t="s">
        <v>42</v>
      </c>
      <c r="D17" s="26" t="s">
        <v>1125</v>
      </c>
      <c r="E17" s="26" t="s">
        <v>772</v>
      </c>
      <c r="F17" s="26" t="s">
        <v>1149</v>
      </c>
      <c r="G17" s="26" t="s">
        <v>60</v>
      </c>
      <c r="H17" s="26" t="s">
        <v>1087</v>
      </c>
      <c r="I17" s="26" t="s">
        <v>1031</v>
      </c>
      <c r="J17" s="29" t="s">
        <v>53</v>
      </c>
      <c r="K17" s="33" t="s">
        <v>1161</v>
      </c>
      <c r="L17" s="26" t="s">
        <v>776</v>
      </c>
      <c r="M17" s="34"/>
      <c r="N17" s="26" t="s">
        <v>1032</v>
      </c>
      <c r="O17" s="56" t="s">
        <v>1162</v>
      </c>
      <c r="P17" s="1"/>
    </row>
    <row r="18" spans="3:19" ht="72.5">
      <c r="C18" s="26" t="s">
        <v>119</v>
      </c>
      <c r="D18" s="26" t="s">
        <v>1128</v>
      </c>
      <c r="E18" s="26" t="s">
        <v>916</v>
      </c>
      <c r="F18" s="26" t="s">
        <v>1149</v>
      </c>
      <c r="G18" s="26" t="s">
        <v>60</v>
      </c>
      <c r="H18" s="26" t="s">
        <v>1090</v>
      </c>
      <c r="I18" s="26" t="s">
        <v>1031</v>
      </c>
      <c r="J18" s="29" t="s">
        <v>53</v>
      </c>
      <c r="K18" s="33" t="s">
        <v>746</v>
      </c>
      <c r="L18" s="26" t="s">
        <v>1163</v>
      </c>
      <c r="M18" s="33" t="s">
        <v>748</v>
      </c>
      <c r="N18" s="26" t="s">
        <v>1032</v>
      </c>
      <c r="O18" s="56" t="s">
        <v>1164</v>
      </c>
      <c r="P18" s="1"/>
    </row>
    <row r="19" spans="3:19" ht="116">
      <c r="C19" s="26" t="s">
        <v>68</v>
      </c>
      <c r="D19" s="26" t="s">
        <v>1165</v>
      </c>
      <c r="E19" s="26" t="s">
        <v>571</v>
      </c>
      <c r="F19" s="26" t="s">
        <v>1149</v>
      </c>
      <c r="G19" s="26" t="s">
        <v>60</v>
      </c>
      <c r="H19" s="26" t="s">
        <v>578</v>
      </c>
      <c r="I19" s="26" t="s">
        <v>1031</v>
      </c>
      <c r="J19" s="29" t="s">
        <v>53</v>
      </c>
      <c r="K19" s="33" t="s">
        <v>574</v>
      </c>
      <c r="L19" s="26" t="s">
        <v>1166</v>
      </c>
      <c r="M19" s="34"/>
      <c r="N19" s="26" t="s">
        <v>1032</v>
      </c>
      <c r="O19" s="56" t="s">
        <v>580</v>
      </c>
      <c r="P19" s="1"/>
    </row>
    <row r="20" spans="3:19" ht="72.5">
      <c r="C20" s="26" t="s">
        <v>68</v>
      </c>
      <c r="D20" s="26" t="s">
        <v>1167</v>
      </c>
      <c r="E20" s="26" t="s">
        <v>70</v>
      </c>
      <c r="F20" s="26" t="s">
        <v>1149</v>
      </c>
      <c r="G20" s="26" t="s">
        <v>60</v>
      </c>
      <c r="H20" s="26" t="s">
        <v>85</v>
      </c>
      <c r="I20" s="26" t="s">
        <v>1031</v>
      </c>
      <c r="J20" s="29" t="s">
        <v>53</v>
      </c>
      <c r="K20" s="33" t="s">
        <v>86</v>
      </c>
      <c r="L20" s="26" t="s">
        <v>87</v>
      </c>
      <c r="M20" s="33" t="s">
        <v>88</v>
      </c>
      <c r="N20" s="26" t="s">
        <v>1032</v>
      </c>
      <c r="O20" s="56" t="s">
        <v>106</v>
      </c>
      <c r="P20" s="1"/>
    </row>
    <row r="21" spans="3:19" ht="87">
      <c r="C21" s="26" t="s">
        <v>1098</v>
      </c>
      <c r="D21" s="26" t="s">
        <v>418</v>
      </c>
      <c r="E21" s="26" t="s">
        <v>427</v>
      </c>
      <c r="F21" s="26" t="s">
        <v>1149</v>
      </c>
      <c r="G21" s="26" t="s">
        <v>60</v>
      </c>
      <c r="H21" s="26" t="s">
        <v>448</v>
      </c>
      <c r="I21" s="26" t="s">
        <v>1031</v>
      </c>
      <c r="J21" s="29" t="s">
        <v>53</v>
      </c>
      <c r="K21" s="33" t="s">
        <v>449</v>
      </c>
      <c r="L21" s="26" t="s">
        <v>467</v>
      </c>
      <c r="M21" s="33" t="s">
        <v>451</v>
      </c>
      <c r="N21" s="26" t="s">
        <v>1032</v>
      </c>
      <c r="O21" s="56" t="s">
        <v>468</v>
      </c>
      <c r="P21" s="1"/>
    </row>
    <row r="22" spans="3:19" ht="58">
      <c r="C22" s="26" t="s">
        <v>42</v>
      </c>
      <c r="D22" s="26" t="s">
        <v>1136</v>
      </c>
      <c r="E22" s="26" t="s">
        <v>1137</v>
      </c>
      <c r="F22" s="26" t="s">
        <v>1149</v>
      </c>
      <c r="G22" s="26" t="s">
        <v>60</v>
      </c>
      <c r="H22" s="26" t="s">
        <v>1139</v>
      </c>
      <c r="I22" s="26" t="s">
        <v>1031</v>
      </c>
      <c r="J22" s="29" t="s">
        <v>53</v>
      </c>
      <c r="K22" s="33" t="s">
        <v>1140</v>
      </c>
      <c r="L22" s="26" t="s">
        <v>952</v>
      </c>
      <c r="M22" s="33" t="s">
        <v>1133</v>
      </c>
      <c r="N22" s="26" t="s">
        <v>1032</v>
      </c>
      <c r="O22" s="56" t="s">
        <v>1168</v>
      </c>
      <c r="P22" s="1"/>
    </row>
    <row r="23" spans="3:19" ht="72.5">
      <c r="C23" s="26" t="s">
        <v>31</v>
      </c>
      <c r="D23" s="26" t="s">
        <v>1142</v>
      </c>
      <c r="E23" s="26" t="s">
        <v>494</v>
      </c>
      <c r="F23" s="26" t="s">
        <v>1149</v>
      </c>
      <c r="G23" s="26" t="s">
        <v>60</v>
      </c>
      <c r="H23" s="26" t="s">
        <v>511</v>
      </c>
      <c r="I23" s="26" t="s">
        <v>1031</v>
      </c>
      <c r="J23" s="29" t="s">
        <v>53</v>
      </c>
      <c r="K23" s="33" t="s">
        <v>512</v>
      </c>
      <c r="L23" s="26" t="s">
        <v>513</v>
      </c>
      <c r="M23" s="34"/>
      <c r="N23" s="26" t="s">
        <v>1032</v>
      </c>
      <c r="O23" s="56" t="s">
        <v>514</v>
      </c>
      <c r="P23" s="1"/>
    </row>
    <row r="24" spans="3:19" ht="188.5">
      <c r="C24" s="26" t="s">
        <v>357</v>
      </c>
      <c r="D24" s="26" t="s">
        <v>800</v>
      </c>
      <c r="E24" s="26" t="s">
        <v>801</v>
      </c>
      <c r="F24" s="26" t="s">
        <v>1149</v>
      </c>
      <c r="G24" s="26" t="s">
        <v>60</v>
      </c>
      <c r="H24" s="26" t="s">
        <v>812</v>
      </c>
      <c r="I24" s="26" t="s">
        <v>1031</v>
      </c>
      <c r="J24" s="29" t="s">
        <v>53</v>
      </c>
      <c r="K24" s="33" t="s">
        <v>1104</v>
      </c>
      <c r="L24" s="26" t="s">
        <v>814</v>
      </c>
      <c r="M24" s="33" t="s">
        <v>1105</v>
      </c>
      <c r="N24" s="26" t="s">
        <v>1032</v>
      </c>
      <c r="O24" s="26" t="s">
        <v>1169</v>
      </c>
      <c r="P24" s="1"/>
    </row>
    <row r="25" spans="3:19" ht="101.5">
      <c r="C25" s="26" t="s">
        <v>42</v>
      </c>
      <c r="D25" s="26" t="s">
        <v>1170</v>
      </c>
      <c r="E25" s="26" t="s">
        <v>599</v>
      </c>
      <c r="F25" s="26" t="s">
        <v>1149</v>
      </c>
      <c r="G25" s="26" t="s">
        <v>60</v>
      </c>
      <c r="H25" s="26" t="s">
        <v>1171</v>
      </c>
      <c r="I25" s="26" t="s">
        <v>1031</v>
      </c>
      <c r="J25" s="29" t="s">
        <v>36</v>
      </c>
      <c r="K25" s="33" t="s">
        <v>602</v>
      </c>
      <c r="L25" s="26" t="s">
        <v>603</v>
      </c>
      <c r="M25" s="33" t="s">
        <v>604</v>
      </c>
      <c r="N25" s="26" t="s">
        <v>1032</v>
      </c>
      <c r="O25" s="56" t="s">
        <v>608</v>
      </c>
      <c r="P25" s="1"/>
    </row>
    <row r="26" spans="3:19" ht="87">
      <c r="C26" s="26" t="s">
        <v>1107</v>
      </c>
      <c r="D26" s="26" t="s">
        <v>153</v>
      </c>
      <c r="E26" s="26" t="s">
        <v>154</v>
      </c>
      <c r="F26" s="26" t="s">
        <v>1149</v>
      </c>
      <c r="G26" s="26" t="s">
        <v>60</v>
      </c>
      <c r="H26" s="26" t="s">
        <v>156</v>
      </c>
      <c r="I26" s="26" t="s">
        <v>161</v>
      </c>
      <c r="J26" s="29" t="s">
        <v>36</v>
      </c>
      <c r="K26" s="33" t="s">
        <v>157</v>
      </c>
      <c r="L26" s="26" t="s">
        <v>158</v>
      </c>
      <c r="M26" s="33" t="s">
        <v>159</v>
      </c>
      <c r="N26" s="26" t="s">
        <v>1032</v>
      </c>
      <c r="O26" s="56" t="s">
        <v>160</v>
      </c>
      <c r="P26" s="1"/>
    </row>
    <row r="27" spans="3:19" ht="174">
      <c r="C27" s="26" t="s">
        <v>145</v>
      </c>
      <c r="D27" s="26" t="s">
        <v>1172</v>
      </c>
      <c r="E27" s="26" t="s">
        <v>225</v>
      </c>
      <c r="F27" s="26" t="s">
        <v>1149</v>
      </c>
      <c r="G27" s="26" t="s">
        <v>60</v>
      </c>
      <c r="H27" s="26" t="s">
        <v>227</v>
      </c>
      <c r="I27" s="26" t="s">
        <v>1031</v>
      </c>
      <c r="J27" s="29" t="s">
        <v>53</v>
      </c>
      <c r="K27" s="33" t="s">
        <v>228</v>
      </c>
      <c r="L27" s="26" t="s">
        <v>229</v>
      </c>
      <c r="M27" s="33" t="s">
        <v>230</v>
      </c>
      <c r="N27" s="26" t="s">
        <v>1032</v>
      </c>
      <c r="O27" s="56" t="s">
        <v>1173</v>
      </c>
      <c r="P27" s="1"/>
    </row>
    <row r="28" spans="3:19" ht="116">
      <c r="C28" s="29" t="s">
        <v>1112</v>
      </c>
      <c r="D28" s="26" t="s">
        <v>1046</v>
      </c>
      <c r="E28" s="26" t="s">
        <v>1113</v>
      </c>
      <c r="F28" s="26" t="s">
        <v>1149</v>
      </c>
      <c r="G28" s="26" t="s">
        <v>60</v>
      </c>
      <c r="H28" s="26" t="s">
        <v>783</v>
      </c>
      <c r="I28" s="26" t="s">
        <v>1031</v>
      </c>
      <c r="J28" s="29" t="s">
        <v>53</v>
      </c>
      <c r="K28" s="33" t="s">
        <v>1049</v>
      </c>
      <c r="L28" s="26" t="s">
        <v>776</v>
      </c>
      <c r="M28" s="34"/>
      <c r="N28" s="26" t="s">
        <v>1032</v>
      </c>
      <c r="O28" s="56" t="s">
        <v>1174</v>
      </c>
      <c r="P28" s="1"/>
    </row>
    <row r="29" spans="3:19" ht="116">
      <c r="C29" s="31" t="s">
        <v>145</v>
      </c>
      <c r="D29" s="30" t="s">
        <v>1175</v>
      </c>
      <c r="E29" s="30" t="s">
        <v>865</v>
      </c>
      <c r="F29" s="30" t="s">
        <v>1149</v>
      </c>
      <c r="G29" s="30" t="s">
        <v>60</v>
      </c>
      <c r="H29" s="30" t="s">
        <v>1117</v>
      </c>
      <c r="I29" s="30" t="s">
        <v>1031</v>
      </c>
      <c r="J29" s="31" t="s">
        <v>53</v>
      </c>
      <c r="K29" s="35" t="s">
        <v>794</v>
      </c>
      <c r="L29" s="30" t="s">
        <v>1176</v>
      </c>
      <c r="M29" s="36"/>
      <c r="N29" s="30" t="s">
        <v>1177</v>
      </c>
      <c r="O29" s="57" t="s">
        <v>1178</v>
      </c>
      <c r="P29" s="1"/>
    </row>
    <row r="30" spans="3:19" ht="130.5">
      <c r="C30" s="30" t="s">
        <v>68</v>
      </c>
      <c r="D30" s="30" t="s">
        <v>69</v>
      </c>
      <c r="E30" s="30">
        <v>89011</v>
      </c>
      <c r="F30" s="30" t="s">
        <v>90</v>
      </c>
      <c r="G30" s="50" t="s">
        <v>60</v>
      </c>
      <c r="H30" s="30" t="s">
        <v>91</v>
      </c>
      <c r="I30" s="30" t="s">
        <v>1031</v>
      </c>
      <c r="J30" s="31" t="s">
        <v>53</v>
      </c>
      <c r="K30" s="40" t="s">
        <v>92</v>
      </c>
      <c r="L30" s="30" t="s">
        <v>107</v>
      </c>
      <c r="M30" s="40" t="s">
        <v>94</v>
      </c>
      <c r="N30" s="26" t="s">
        <v>1032</v>
      </c>
      <c r="O30" s="58" t="s">
        <v>108</v>
      </c>
      <c r="P30" s="42"/>
      <c r="Q30" s="42"/>
      <c r="R30" s="42"/>
      <c r="S30" s="42"/>
    </row>
    <row r="31" spans="3:19">
      <c r="C31" s="42"/>
      <c r="D31" s="42"/>
      <c r="E31" s="42"/>
      <c r="F31" s="42"/>
      <c r="G31" s="42"/>
      <c r="H31" s="42"/>
      <c r="I31" s="42"/>
      <c r="J31" s="42"/>
      <c r="K31" s="42"/>
      <c r="L31" s="42"/>
      <c r="M31" s="42"/>
      <c r="N31" s="42"/>
      <c r="O31" s="42"/>
      <c r="P31" s="42"/>
      <c r="Q31" s="42"/>
      <c r="R31" s="42"/>
      <c r="S31" s="42"/>
    </row>
    <row r="32" spans="3:19">
      <c r="C32" s="42"/>
      <c r="D32" s="42"/>
      <c r="E32" s="42"/>
      <c r="F32" s="42"/>
      <c r="G32" s="42"/>
      <c r="H32" s="42"/>
      <c r="I32" s="42"/>
      <c r="J32" s="42"/>
      <c r="K32" s="42"/>
      <c r="L32" s="42"/>
      <c r="M32" s="42"/>
      <c r="N32" s="42"/>
      <c r="O32" s="42"/>
      <c r="P32" s="42"/>
      <c r="Q32" s="42"/>
      <c r="R32" s="42"/>
      <c r="S32" s="42"/>
    </row>
    <row r="33" spans="3:19">
      <c r="C33" s="42"/>
      <c r="D33" s="42"/>
      <c r="E33" s="42"/>
      <c r="F33" s="42"/>
      <c r="G33" s="42"/>
      <c r="H33" s="42"/>
      <c r="I33" s="42"/>
      <c r="J33" s="42"/>
      <c r="K33" s="42"/>
      <c r="L33" s="42"/>
      <c r="M33" s="42"/>
      <c r="N33" s="42"/>
      <c r="O33" s="42"/>
      <c r="P33" s="42"/>
      <c r="Q33" s="42"/>
      <c r="R33" s="42"/>
      <c r="S33" s="42"/>
    </row>
    <row r="34" spans="3:19">
      <c r="C34" s="42"/>
      <c r="D34" s="42"/>
      <c r="E34" s="42"/>
      <c r="F34" s="42"/>
      <c r="G34" s="42"/>
      <c r="H34" s="42"/>
      <c r="I34" s="42"/>
      <c r="J34" s="42"/>
      <c r="K34" s="42"/>
      <c r="L34" s="42"/>
      <c r="M34" s="42"/>
      <c r="N34" s="42"/>
      <c r="O34" s="42"/>
      <c r="P34" s="42"/>
      <c r="Q34" s="42"/>
      <c r="R34" s="42"/>
      <c r="S34" s="42"/>
    </row>
    <row r="35" spans="3:19">
      <c r="C35" s="42"/>
      <c r="D35" s="42"/>
      <c r="E35" s="42"/>
      <c r="F35" s="42"/>
      <c r="G35" s="42"/>
      <c r="H35" s="42"/>
      <c r="I35" s="42"/>
      <c r="J35" s="42"/>
      <c r="K35" s="42"/>
      <c r="L35" s="42"/>
      <c r="M35" s="42"/>
      <c r="N35" s="42"/>
      <c r="O35" s="42"/>
      <c r="P35" s="42"/>
      <c r="Q35" s="42"/>
      <c r="R35" s="42"/>
      <c r="S35" s="42"/>
    </row>
    <row r="36" spans="3:19">
      <c r="C36" s="42"/>
      <c r="D36" s="42"/>
      <c r="E36" s="42"/>
      <c r="F36" s="42"/>
      <c r="G36" s="42"/>
      <c r="H36" s="42"/>
      <c r="I36" s="42"/>
      <c r="J36" s="42"/>
      <c r="K36" s="42"/>
      <c r="L36" s="42"/>
      <c r="M36" s="42"/>
      <c r="N36" s="42"/>
      <c r="O36" s="42"/>
      <c r="P36" s="42"/>
      <c r="Q36" s="42"/>
      <c r="R36" s="42"/>
      <c r="S36" s="42"/>
    </row>
    <row r="37" spans="3:19">
      <c r="C37" s="42"/>
      <c r="D37" s="42"/>
      <c r="E37" s="42"/>
      <c r="F37" s="42"/>
      <c r="G37" s="42"/>
      <c r="H37" s="42"/>
      <c r="I37" s="42"/>
      <c r="J37" s="42"/>
      <c r="K37" s="42"/>
      <c r="L37" s="42"/>
      <c r="M37" s="42"/>
      <c r="N37" s="42"/>
      <c r="O37" s="42"/>
      <c r="P37" s="42"/>
      <c r="Q37" s="42"/>
      <c r="R37" s="42"/>
      <c r="S37" s="42"/>
    </row>
    <row r="38" spans="3:19">
      <c r="C38" s="42"/>
      <c r="D38" s="42"/>
      <c r="E38" s="42"/>
      <c r="F38" s="42"/>
      <c r="G38" s="42"/>
      <c r="H38" s="42"/>
      <c r="I38" s="42"/>
      <c r="J38" s="42"/>
      <c r="K38" s="42"/>
      <c r="L38" s="42"/>
      <c r="M38" s="42"/>
      <c r="N38" s="42"/>
      <c r="O38" s="42"/>
      <c r="P38" s="42"/>
      <c r="Q38" s="42"/>
      <c r="R38" s="42"/>
      <c r="S38" s="42"/>
    </row>
    <row r="39" spans="3:19">
      <c r="C39" s="42"/>
      <c r="D39" s="42"/>
      <c r="E39" s="42"/>
      <c r="F39" s="42"/>
      <c r="G39" s="42"/>
      <c r="H39" s="42"/>
      <c r="I39" s="42"/>
      <c r="J39" s="42"/>
      <c r="K39" s="42"/>
      <c r="L39" s="42"/>
      <c r="M39" s="42"/>
      <c r="N39" s="42"/>
      <c r="O39" s="42"/>
      <c r="P39" s="42"/>
      <c r="Q39" s="42"/>
      <c r="R39" s="42"/>
      <c r="S39" s="42"/>
    </row>
    <row r="40" spans="3:19">
      <c r="C40" s="42"/>
      <c r="D40" s="42"/>
      <c r="E40" s="42"/>
      <c r="F40" s="42"/>
      <c r="G40" s="42"/>
      <c r="H40" s="42"/>
      <c r="I40" s="42"/>
      <c r="J40" s="42"/>
      <c r="K40" s="42"/>
      <c r="L40" s="42"/>
      <c r="M40" s="42"/>
      <c r="N40" s="42"/>
      <c r="O40" s="42"/>
      <c r="P40" s="42"/>
      <c r="Q40" s="42"/>
      <c r="R40" s="42"/>
      <c r="S40" s="42"/>
    </row>
    <row r="41" spans="3:19">
      <c r="C41" s="42"/>
      <c r="D41" s="42"/>
      <c r="E41" s="42"/>
      <c r="F41" s="42"/>
      <c r="G41" s="42"/>
      <c r="H41" s="42"/>
      <c r="I41" s="42"/>
      <c r="J41" s="42"/>
      <c r="K41" s="42"/>
      <c r="L41" s="42"/>
      <c r="M41" s="42"/>
      <c r="N41" s="42"/>
      <c r="O41" s="42"/>
      <c r="P41" s="42"/>
      <c r="Q41" s="42"/>
      <c r="R41" s="42"/>
      <c r="S41" s="42"/>
    </row>
    <row r="42" spans="3:19">
      <c r="C42" s="42"/>
      <c r="D42" s="42"/>
      <c r="E42" s="42"/>
      <c r="F42" s="42"/>
      <c r="G42" s="42"/>
      <c r="H42" s="42"/>
      <c r="I42" s="42"/>
      <c r="J42" s="42"/>
      <c r="K42" s="42"/>
      <c r="L42" s="42"/>
      <c r="M42" s="42"/>
      <c r="N42" s="42"/>
      <c r="O42" s="42"/>
      <c r="P42" s="42"/>
      <c r="Q42" s="42"/>
      <c r="R42" s="42"/>
      <c r="S42" s="42"/>
    </row>
    <row r="43" spans="3:19">
      <c r="C43" s="42"/>
      <c r="D43" s="42"/>
      <c r="E43" s="42"/>
      <c r="F43" s="42"/>
      <c r="G43" s="42"/>
      <c r="H43" s="42"/>
      <c r="I43" s="42"/>
      <c r="J43" s="42"/>
      <c r="K43" s="42"/>
      <c r="L43" s="42"/>
      <c r="M43" s="42"/>
      <c r="N43" s="42"/>
      <c r="O43" s="42"/>
      <c r="P43" s="42"/>
      <c r="Q43" s="42"/>
      <c r="R43" s="42"/>
      <c r="S43" s="42"/>
    </row>
    <row r="44" spans="3:19">
      <c r="C44" s="42"/>
      <c r="D44" s="42"/>
      <c r="E44" s="42"/>
      <c r="F44" s="42"/>
      <c r="G44" s="42"/>
      <c r="H44" s="42"/>
      <c r="I44" s="42"/>
      <c r="J44" s="42"/>
      <c r="K44" s="42"/>
      <c r="L44" s="42"/>
      <c r="M44" s="42"/>
      <c r="N44" s="42"/>
      <c r="O44" s="42"/>
      <c r="P44" s="42"/>
      <c r="Q44" s="42"/>
      <c r="R44" s="42"/>
      <c r="S44" s="42"/>
    </row>
    <row r="45" spans="3:19">
      <c r="C45" s="42"/>
      <c r="D45" s="42"/>
      <c r="E45" s="42"/>
      <c r="F45" s="42"/>
      <c r="G45" s="42"/>
      <c r="H45" s="42"/>
      <c r="I45" s="42"/>
      <c r="J45" s="42"/>
      <c r="K45" s="42"/>
      <c r="L45" s="42"/>
      <c r="M45" s="42"/>
      <c r="N45" s="42"/>
      <c r="O45" s="42"/>
      <c r="P45" s="42"/>
      <c r="Q45" s="42"/>
      <c r="R45" s="42"/>
      <c r="S45" s="42"/>
    </row>
    <row r="46" spans="3:19">
      <c r="C46" s="42"/>
      <c r="D46" s="42"/>
      <c r="E46" s="42"/>
      <c r="F46" s="42"/>
      <c r="G46" s="42"/>
      <c r="H46" s="42"/>
      <c r="I46" s="42"/>
      <c r="J46" s="42"/>
      <c r="K46" s="42"/>
      <c r="L46" s="42"/>
      <c r="M46" s="42"/>
      <c r="N46" s="42"/>
      <c r="O46" s="42"/>
      <c r="P46" s="42"/>
      <c r="Q46" s="42"/>
      <c r="R46" s="42"/>
      <c r="S46" s="42"/>
    </row>
    <row r="47" spans="3:19">
      <c r="C47" s="42"/>
      <c r="D47" s="42"/>
      <c r="E47" s="42"/>
      <c r="F47" s="42"/>
      <c r="G47" s="42"/>
      <c r="H47" s="42"/>
      <c r="I47" s="42"/>
      <c r="J47" s="42"/>
      <c r="K47" s="42"/>
      <c r="L47" s="42"/>
      <c r="M47" s="42"/>
      <c r="N47" s="42"/>
      <c r="O47" s="42"/>
      <c r="P47" s="42"/>
      <c r="Q47" s="42"/>
      <c r="R47" s="42"/>
      <c r="S47" s="42"/>
    </row>
    <row r="48" spans="3:19">
      <c r="C48" s="42"/>
      <c r="D48" s="42"/>
      <c r="E48" s="42"/>
      <c r="F48" s="42"/>
      <c r="G48" s="42"/>
      <c r="H48" s="42"/>
      <c r="I48" s="42"/>
      <c r="J48" s="42"/>
      <c r="K48" s="42"/>
      <c r="L48" s="42"/>
      <c r="M48" s="42"/>
      <c r="N48" s="42"/>
      <c r="O48" s="42"/>
      <c r="P48" s="42"/>
      <c r="Q48" s="42"/>
      <c r="R48" s="42"/>
      <c r="S48" s="42"/>
    </row>
    <row r="49" spans="3:19">
      <c r="C49" s="42"/>
      <c r="D49" s="42"/>
      <c r="E49" s="42"/>
      <c r="F49" s="42"/>
      <c r="G49" s="42"/>
      <c r="H49" s="42"/>
      <c r="I49" s="42"/>
      <c r="J49" s="42"/>
      <c r="K49" s="42"/>
      <c r="L49" s="42"/>
      <c r="M49" s="42"/>
      <c r="N49" s="42"/>
      <c r="O49" s="42"/>
      <c r="P49" s="42"/>
      <c r="Q49" s="42"/>
      <c r="R49" s="42"/>
      <c r="S49" s="42"/>
    </row>
    <row r="50" spans="3:19">
      <c r="C50" s="42"/>
      <c r="D50" s="42"/>
      <c r="E50" s="42"/>
      <c r="F50" s="42"/>
      <c r="G50" s="42"/>
      <c r="H50" s="42"/>
      <c r="I50" s="42"/>
      <c r="J50" s="42"/>
      <c r="K50" s="42"/>
      <c r="L50" s="42"/>
      <c r="M50" s="42"/>
      <c r="N50" s="42"/>
      <c r="O50" s="42"/>
      <c r="P50" s="42"/>
      <c r="Q50" s="42"/>
      <c r="R50" s="42"/>
      <c r="S50" s="42"/>
    </row>
    <row r="51" spans="3:19">
      <c r="C51" s="42"/>
      <c r="D51" s="42"/>
      <c r="E51" s="42"/>
      <c r="F51" s="42"/>
      <c r="G51" s="42"/>
      <c r="H51" s="42"/>
      <c r="I51" s="42"/>
      <c r="J51" s="42"/>
      <c r="K51" s="42"/>
      <c r="L51" s="42"/>
      <c r="M51" s="42"/>
      <c r="N51" s="42"/>
      <c r="O51" s="42"/>
      <c r="P51" s="42"/>
      <c r="Q51" s="42"/>
      <c r="R51" s="42"/>
      <c r="S51" s="42"/>
    </row>
    <row r="52" spans="3:19">
      <c r="C52" s="42"/>
      <c r="D52" s="42"/>
      <c r="E52" s="42"/>
      <c r="F52" s="42"/>
      <c r="G52" s="42"/>
      <c r="H52" s="42"/>
      <c r="I52" s="42"/>
      <c r="J52" s="42"/>
      <c r="K52" s="42"/>
      <c r="L52" s="42"/>
      <c r="M52" s="42"/>
      <c r="N52" s="42"/>
      <c r="O52" s="42"/>
      <c r="P52" s="42"/>
      <c r="Q52" s="42"/>
      <c r="R52" s="42"/>
      <c r="S52" s="42"/>
    </row>
    <row r="53" spans="3:19">
      <c r="C53" s="42"/>
      <c r="D53" s="42"/>
      <c r="E53" s="42"/>
      <c r="F53" s="42"/>
      <c r="G53" s="42"/>
      <c r="H53" s="42"/>
      <c r="I53" s="42"/>
      <c r="J53" s="42"/>
      <c r="K53" s="42"/>
      <c r="L53" s="42"/>
      <c r="M53" s="42"/>
      <c r="N53" s="42"/>
      <c r="O53" s="42"/>
      <c r="P53" s="42"/>
      <c r="Q53" s="42"/>
      <c r="R53" s="42"/>
      <c r="S53" s="42"/>
    </row>
    <row r="54" spans="3:19">
      <c r="C54" s="42"/>
      <c r="D54" s="42"/>
      <c r="E54" s="42"/>
      <c r="F54" s="42"/>
      <c r="G54" s="42"/>
      <c r="H54" s="42"/>
      <c r="I54" s="42"/>
      <c r="J54" s="42"/>
      <c r="K54" s="42"/>
      <c r="L54" s="42"/>
      <c r="M54" s="42"/>
      <c r="N54" s="42"/>
      <c r="O54" s="42"/>
      <c r="P54" s="42"/>
      <c r="Q54" s="42"/>
      <c r="R54" s="42"/>
      <c r="S54" s="42"/>
    </row>
    <row r="55" spans="3:19">
      <c r="C55" s="42"/>
      <c r="D55" s="42"/>
      <c r="E55" s="42"/>
      <c r="F55" s="42"/>
      <c r="G55" s="42"/>
      <c r="H55" s="42"/>
      <c r="I55" s="42"/>
      <c r="J55" s="42"/>
      <c r="K55" s="42"/>
      <c r="L55" s="42"/>
      <c r="M55" s="42"/>
      <c r="N55" s="42"/>
      <c r="O55" s="42"/>
      <c r="P55" s="42"/>
      <c r="Q55" s="42"/>
      <c r="R55" s="42"/>
      <c r="S55" s="42"/>
    </row>
    <row r="56" spans="3:19">
      <c r="C56" s="42"/>
      <c r="D56" s="42"/>
      <c r="E56" s="42"/>
      <c r="F56" s="42"/>
      <c r="G56" s="42"/>
      <c r="H56" s="42"/>
      <c r="I56" s="42"/>
      <c r="J56" s="42"/>
      <c r="K56" s="42"/>
      <c r="L56" s="42"/>
      <c r="M56" s="42"/>
      <c r="N56" s="42"/>
      <c r="O56" s="42"/>
      <c r="P56" s="42"/>
      <c r="Q56" s="42"/>
      <c r="R56" s="42"/>
      <c r="S56" s="42"/>
    </row>
    <row r="57" spans="3:19">
      <c r="C57" s="42"/>
      <c r="D57" s="42"/>
      <c r="E57" s="42"/>
      <c r="F57" s="42"/>
      <c r="G57" s="42"/>
      <c r="H57" s="42"/>
      <c r="I57" s="42"/>
      <c r="J57" s="42"/>
      <c r="K57" s="42"/>
      <c r="L57" s="42"/>
      <c r="M57" s="42"/>
      <c r="N57" s="42"/>
      <c r="O57" s="42"/>
      <c r="P57" s="42"/>
      <c r="Q57" s="42"/>
      <c r="R57" s="42"/>
      <c r="S57" s="42"/>
    </row>
    <row r="58" spans="3:19">
      <c r="C58" s="42"/>
      <c r="D58" s="42"/>
      <c r="E58" s="42"/>
      <c r="F58" s="42"/>
      <c r="G58" s="42"/>
      <c r="H58" s="42"/>
      <c r="I58" s="42"/>
      <c r="J58" s="42"/>
      <c r="K58" s="42"/>
      <c r="L58" s="42"/>
      <c r="M58" s="42"/>
      <c r="N58" s="42"/>
      <c r="O58" s="42"/>
      <c r="P58" s="42"/>
      <c r="Q58" s="42"/>
      <c r="R58" s="42"/>
      <c r="S58" s="42"/>
    </row>
    <row r="59" spans="3:19">
      <c r="C59" s="42"/>
      <c r="D59" s="42"/>
      <c r="E59" s="42"/>
      <c r="F59" s="42"/>
      <c r="G59" s="42"/>
      <c r="H59" s="42"/>
      <c r="I59" s="42"/>
      <c r="J59" s="42"/>
      <c r="K59" s="42"/>
      <c r="L59" s="42"/>
      <c r="M59" s="42"/>
      <c r="N59" s="42"/>
      <c r="O59" s="42"/>
      <c r="P59" s="42"/>
      <c r="Q59" s="42"/>
      <c r="R59" s="42"/>
      <c r="S59" s="42"/>
    </row>
    <row r="60" spans="3:19">
      <c r="C60" s="42"/>
      <c r="D60" s="42"/>
      <c r="E60" s="42"/>
      <c r="F60" s="42"/>
      <c r="G60" s="42"/>
      <c r="H60" s="42"/>
      <c r="I60" s="42"/>
      <c r="J60" s="42"/>
      <c r="K60" s="42"/>
      <c r="L60" s="42"/>
      <c r="M60" s="42"/>
      <c r="N60" s="42"/>
      <c r="O60" s="42"/>
      <c r="P60" s="42"/>
      <c r="Q60" s="42"/>
      <c r="R60" s="42"/>
      <c r="S60" s="42"/>
    </row>
    <row r="61" spans="3:19">
      <c r="C61" s="42"/>
      <c r="D61" s="42"/>
      <c r="E61" s="42"/>
      <c r="F61" s="42"/>
      <c r="G61" s="42"/>
      <c r="H61" s="42"/>
      <c r="I61" s="42"/>
      <c r="J61" s="42"/>
      <c r="K61" s="42"/>
      <c r="L61" s="42"/>
      <c r="M61" s="42"/>
      <c r="N61" s="42"/>
      <c r="O61" s="42"/>
      <c r="P61" s="42"/>
      <c r="Q61" s="42"/>
      <c r="R61" s="42"/>
      <c r="S61" s="42"/>
    </row>
    <row r="62" spans="3:19">
      <c r="C62" s="42"/>
      <c r="D62" s="42"/>
      <c r="E62" s="42"/>
      <c r="F62" s="42"/>
      <c r="G62" s="42"/>
      <c r="H62" s="42"/>
      <c r="I62" s="42"/>
      <c r="J62" s="42"/>
      <c r="K62" s="42"/>
      <c r="L62" s="42"/>
      <c r="M62" s="42"/>
      <c r="N62" s="42"/>
      <c r="O62" s="42"/>
      <c r="P62" s="42"/>
      <c r="Q62" s="42"/>
      <c r="R62" s="42"/>
      <c r="S62" s="42"/>
    </row>
    <row r="63" spans="3:19">
      <c r="C63" s="42"/>
      <c r="D63" s="42"/>
      <c r="E63" s="42"/>
      <c r="F63" s="42"/>
      <c r="G63" s="42"/>
      <c r="H63" s="42"/>
      <c r="I63" s="42"/>
      <c r="J63" s="42"/>
      <c r="K63" s="42"/>
      <c r="L63" s="42"/>
      <c r="M63" s="42"/>
      <c r="N63" s="42"/>
      <c r="O63" s="42"/>
      <c r="P63" s="42"/>
      <c r="Q63" s="42"/>
      <c r="R63" s="42"/>
      <c r="S63" s="42"/>
    </row>
    <row r="64" spans="3:19">
      <c r="C64" s="42"/>
      <c r="D64" s="42"/>
      <c r="E64" s="42"/>
      <c r="F64" s="42"/>
      <c r="G64" s="42"/>
      <c r="H64" s="42"/>
      <c r="I64" s="42"/>
      <c r="J64" s="42"/>
      <c r="K64" s="42"/>
      <c r="L64" s="42"/>
      <c r="M64" s="42"/>
      <c r="N64" s="42"/>
      <c r="O64" s="42"/>
      <c r="P64" s="42"/>
      <c r="Q64" s="42"/>
      <c r="R64" s="42"/>
      <c r="S64" s="42"/>
    </row>
    <row r="65" spans="3:19">
      <c r="C65" s="42"/>
      <c r="D65" s="42"/>
      <c r="E65" s="42"/>
      <c r="F65" s="42"/>
      <c r="G65" s="42"/>
      <c r="H65" s="42"/>
      <c r="I65" s="42"/>
      <c r="J65" s="42"/>
      <c r="K65" s="42"/>
      <c r="L65" s="42"/>
      <c r="M65" s="42"/>
      <c r="N65" s="42"/>
      <c r="O65" s="42"/>
      <c r="P65" s="42"/>
      <c r="Q65" s="42"/>
      <c r="R65" s="42"/>
      <c r="S65" s="42"/>
    </row>
    <row r="66" spans="3:19">
      <c r="C66" s="42"/>
      <c r="D66" s="42"/>
      <c r="E66" s="42"/>
      <c r="F66" s="42"/>
      <c r="G66" s="42"/>
      <c r="H66" s="42"/>
      <c r="I66" s="42"/>
      <c r="J66" s="42"/>
      <c r="K66" s="42"/>
      <c r="L66" s="42"/>
      <c r="M66" s="42"/>
      <c r="N66" s="42"/>
      <c r="O66" s="42"/>
      <c r="P66" s="42"/>
      <c r="Q66" s="42"/>
      <c r="R66" s="42"/>
      <c r="S66" s="42"/>
    </row>
    <row r="67" spans="3:19">
      <c r="C67" s="42"/>
      <c r="D67" s="42"/>
      <c r="E67" s="42"/>
      <c r="F67" s="42"/>
      <c r="G67" s="42"/>
      <c r="H67" s="42"/>
      <c r="I67" s="42"/>
      <c r="J67" s="42"/>
      <c r="K67" s="42"/>
      <c r="L67" s="42"/>
      <c r="M67" s="42"/>
      <c r="N67" s="42"/>
      <c r="O67" s="42"/>
      <c r="P67" s="42"/>
      <c r="Q67" s="42"/>
      <c r="R67" s="42"/>
      <c r="S67" s="42"/>
    </row>
    <row r="68" spans="3:19">
      <c r="D68" s="42"/>
      <c r="E68" s="42"/>
      <c r="F68" s="42"/>
      <c r="H68" s="42"/>
      <c r="J68" s="42"/>
      <c r="K68" s="42"/>
      <c r="L68" s="42"/>
      <c r="M68" s="42"/>
      <c r="N68" s="42"/>
      <c r="O68" s="42"/>
      <c r="P68" s="42"/>
    </row>
    <row r="69" spans="3:19">
      <c r="D69" s="42"/>
      <c r="E69" s="42"/>
      <c r="F69" s="42"/>
      <c r="H69" s="42"/>
      <c r="J69" s="42"/>
      <c r="K69" s="42"/>
      <c r="L69" s="42"/>
      <c r="M69" s="42"/>
      <c r="N69" s="42"/>
      <c r="O69" s="42"/>
      <c r="P69" s="42"/>
    </row>
    <row r="70" spans="3:19">
      <c r="D70" s="42"/>
      <c r="E70" s="42"/>
      <c r="F70" s="42"/>
      <c r="H70" s="42"/>
      <c r="J70" s="42"/>
      <c r="K70" s="42"/>
      <c r="L70" s="42"/>
      <c r="M70" s="42"/>
      <c r="N70" s="42"/>
      <c r="O70" s="42"/>
      <c r="P70" s="42"/>
    </row>
    <row r="71" spans="3:19">
      <c r="D71" s="42"/>
      <c r="E71" s="42"/>
      <c r="F71" s="42"/>
      <c r="H71" s="42"/>
      <c r="J71" s="42"/>
      <c r="K71" s="42"/>
      <c r="L71" s="42"/>
      <c r="M71" s="42"/>
      <c r="N71" s="42"/>
      <c r="O71" s="42"/>
      <c r="P71" s="42"/>
    </row>
    <row r="72" spans="3:19">
      <c r="D72" s="42"/>
      <c r="E72" s="42"/>
      <c r="F72" s="42"/>
      <c r="H72" s="42"/>
      <c r="J72" s="42"/>
      <c r="K72" s="42"/>
      <c r="L72" s="42"/>
      <c r="M72" s="42"/>
      <c r="N72" s="42"/>
      <c r="O72" s="42"/>
      <c r="P72" s="42"/>
    </row>
    <row r="73" spans="3:19">
      <c r="D73" s="42"/>
      <c r="E73" s="42"/>
      <c r="F73" s="42"/>
      <c r="H73" s="42"/>
      <c r="J73" s="42"/>
      <c r="K73" s="42"/>
      <c r="L73" s="42"/>
      <c r="M73" s="42"/>
      <c r="N73" s="42"/>
      <c r="O73" s="42"/>
      <c r="P73" s="42"/>
    </row>
    <row r="74" spans="3:19">
      <c r="D74" s="42"/>
      <c r="E74" s="42"/>
      <c r="F74" s="42"/>
      <c r="H74" s="42"/>
      <c r="J74" s="42"/>
      <c r="K74" s="42"/>
      <c r="L74" s="42"/>
      <c r="M74" s="42"/>
      <c r="N74" s="42"/>
      <c r="O74" s="42"/>
      <c r="P74" s="42"/>
    </row>
    <row r="75" spans="3:19">
      <c r="D75" s="42"/>
      <c r="E75" s="42"/>
      <c r="F75" s="42"/>
      <c r="H75" s="42"/>
      <c r="J75" s="42"/>
      <c r="K75" s="42"/>
      <c r="L75" s="42"/>
      <c r="M75" s="42"/>
      <c r="N75" s="42"/>
      <c r="O75" s="42"/>
      <c r="P75" s="42"/>
    </row>
    <row r="76" spans="3:19">
      <c r="D76" s="42"/>
      <c r="E76" s="42"/>
      <c r="F76" s="42"/>
      <c r="H76" s="42"/>
      <c r="J76" s="42"/>
      <c r="K76" s="42"/>
      <c r="L76" s="42"/>
      <c r="M76" s="42"/>
      <c r="N76" s="42"/>
      <c r="O76" s="42"/>
      <c r="P76" s="42"/>
    </row>
    <row r="77" spans="3:19">
      <c r="D77" s="42"/>
      <c r="E77" s="42"/>
      <c r="F77" s="42"/>
      <c r="H77" s="42"/>
      <c r="J77" s="42"/>
      <c r="K77" s="42"/>
      <c r="L77" s="42"/>
      <c r="M77" s="42"/>
      <c r="N77" s="42"/>
      <c r="O77" s="42"/>
      <c r="P77" s="42"/>
    </row>
    <row r="78" spans="3:19">
      <c r="D78" s="42"/>
      <c r="E78" s="42"/>
      <c r="F78" s="42"/>
      <c r="H78" s="42"/>
      <c r="J78" s="42"/>
      <c r="K78" s="42"/>
      <c r="L78" s="42"/>
      <c r="M78" s="42"/>
      <c r="N78" s="42"/>
      <c r="O78" s="42"/>
      <c r="P78" s="42"/>
    </row>
    <row r="79" spans="3:19">
      <c r="D79" s="42"/>
      <c r="E79" s="42"/>
      <c r="F79" s="42"/>
      <c r="H79" s="42"/>
      <c r="J79" s="42"/>
      <c r="K79" s="42"/>
      <c r="L79" s="42"/>
      <c r="M79" s="42"/>
      <c r="N79" s="42"/>
      <c r="O79" s="42"/>
      <c r="P79" s="42"/>
    </row>
    <row r="80" spans="3:19">
      <c r="D80" s="42"/>
      <c r="E80" s="42"/>
      <c r="F80" s="42"/>
      <c r="H80" s="42"/>
      <c r="J80" s="42"/>
      <c r="K80" s="42"/>
      <c r="L80" s="42"/>
      <c r="M80" s="42"/>
      <c r="N80" s="42"/>
      <c r="O80" s="42"/>
      <c r="P80" s="42"/>
    </row>
    <row r="81" spans="4:16">
      <c r="D81" s="42"/>
      <c r="E81" s="42"/>
      <c r="F81" s="42"/>
      <c r="H81" s="42"/>
      <c r="J81" s="42"/>
      <c r="K81" s="42"/>
      <c r="L81" s="42"/>
      <c r="M81" s="42"/>
      <c r="N81" s="42"/>
      <c r="O81" s="42"/>
      <c r="P81" s="42"/>
    </row>
    <row r="82" spans="4:16">
      <c r="D82" s="42"/>
      <c r="E82" s="42"/>
      <c r="F82" s="42"/>
      <c r="H82" s="42"/>
      <c r="J82" s="42"/>
      <c r="K82" s="42"/>
      <c r="L82" s="42"/>
      <c r="M82" s="42"/>
      <c r="N82" s="42"/>
      <c r="O82" s="42"/>
      <c r="P82" s="42"/>
    </row>
    <row r="83" spans="4:16">
      <c r="D83" s="42"/>
      <c r="E83" s="42"/>
      <c r="F83" s="42"/>
      <c r="H83" s="42"/>
      <c r="J83" s="42"/>
      <c r="K83" s="42"/>
      <c r="L83" s="42"/>
      <c r="M83" s="42"/>
      <c r="N83" s="42"/>
      <c r="O83" s="42"/>
      <c r="P83" s="42"/>
    </row>
    <row r="84" spans="4:16">
      <c r="D84" s="42"/>
      <c r="E84" s="42"/>
      <c r="F84" s="42"/>
      <c r="H84" s="42"/>
      <c r="J84" s="42"/>
      <c r="K84" s="42"/>
      <c r="L84" s="42"/>
      <c r="M84" s="42"/>
      <c r="N84" s="42"/>
      <c r="O84" s="42"/>
      <c r="P84" s="42"/>
    </row>
    <row r="85" spans="4:16">
      <c r="D85" s="42"/>
      <c r="E85" s="42"/>
      <c r="F85" s="42"/>
      <c r="H85" s="42"/>
      <c r="J85" s="42"/>
      <c r="K85" s="42"/>
      <c r="L85" s="42"/>
      <c r="M85" s="42"/>
      <c r="N85" s="42"/>
      <c r="O85" s="42"/>
      <c r="P85" s="42"/>
    </row>
    <row r="86" spans="4:16">
      <c r="D86" s="42"/>
      <c r="E86" s="42"/>
      <c r="F86" s="42"/>
      <c r="H86" s="42"/>
      <c r="J86" s="42"/>
      <c r="K86" s="42"/>
      <c r="L86" s="42"/>
      <c r="M86" s="42"/>
      <c r="N86" s="42"/>
      <c r="O86" s="42"/>
      <c r="P86" s="42"/>
    </row>
    <row r="87" spans="4:16">
      <c r="D87" s="42"/>
      <c r="E87" s="42"/>
      <c r="F87" s="42"/>
      <c r="H87" s="42"/>
      <c r="J87" s="42"/>
      <c r="K87" s="42"/>
      <c r="L87" s="42"/>
      <c r="M87" s="42"/>
      <c r="N87" s="42"/>
      <c r="O87" s="42"/>
      <c r="P87" s="42"/>
    </row>
    <row r="88" spans="4:16">
      <c r="D88" s="42"/>
      <c r="E88" s="42"/>
      <c r="F88" s="42"/>
      <c r="H88" s="42"/>
      <c r="J88" s="42"/>
      <c r="K88" s="42"/>
      <c r="L88" s="42"/>
      <c r="M88" s="42"/>
      <c r="N88" s="42"/>
      <c r="O88" s="42"/>
      <c r="P88" s="42"/>
    </row>
    <row r="89" spans="4:16">
      <c r="D89" s="42"/>
      <c r="E89" s="42"/>
      <c r="F89" s="42"/>
      <c r="H89" s="42"/>
      <c r="J89" s="42"/>
      <c r="K89" s="42"/>
      <c r="L89" s="42"/>
      <c r="M89" s="42"/>
      <c r="N89" s="42"/>
      <c r="O89" s="42"/>
      <c r="P89" s="42"/>
    </row>
    <row r="90" spans="4:16">
      <c r="D90" s="42"/>
      <c r="E90" s="42"/>
      <c r="F90" s="42"/>
      <c r="H90" s="42"/>
      <c r="J90" s="42"/>
      <c r="K90" s="42"/>
      <c r="L90" s="42"/>
      <c r="M90" s="42"/>
      <c r="N90" s="42"/>
      <c r="O90" s="42"/>
      <c r="P90" s="42"/>
    </row>
    <row r="91" spans="4:16">
      <c r="D91" s="42"/>
      <c r="E91" s="42"/>
      <c r="F91" s="42"/>
      <c r="H91" s="42"/>
      <c r="J91" s="42"/>
      <c r="K91" s="42"/>
      <c r="L91" s="42"/>
      <c r="M91" s="42"/>
      <c r="N91" s="42"/>
      <c r="O91" s="42"/>
      <c r="P91" s="42"/>
    </row>
    <row r="92" spans="4:16">
      <c r="D92" s="42"/>
      <c r="E92" s="42"/>
      <c r="F92" s="42"/>
      <c r="H92" s="42"/>
      <c r="J92" s="42"/>
      <c r="K92" s="42"/>
      <c r="L92" s="42"/>
      <c r="M92" s="42"/>
      <c r="N92" s="42"/>
      <c r="O92" s="42"/>
      <c r="P92" s="42"/>
    </row>
    <row r="93" spans="4:16">
      <c r="D93" s="42"/>
      <c r="E93" s="42"/>
      <c r="F93" s="42"/>
      <c r="H93" s="42"/>
      <c r="J93" s="42"/>
      <c r="K93" s="42"/>
      <c r="L93" s="42"/>
      <c r="M93" s="42"/>
      <c r="N93" s="42"/>
      <c r="O93" s="42"/>
      <c r="P93" s="42"/>
    </row>
    <row r="94" spans="4:16">
      <c r="D94" s="42"/>
      <c r="E94" s="42"/>
      <c r="F94" s="42"/>
      <c r="H94" s="42"/>
      <c r="J94" s="42"/>
      <c r="K94" s="42"/>
      <c r="L94" s="42"/>
      <c r="M94" s="42"/>
      <c r="N94" s="42"/>
      <c r="O94" s="42"/>
      <c r="P94" s="42"/>
    </row>
    <row r="95" spans="4:16">
      <c r="D95" s="42"/>
      <c r="E95" s="42"/>
      <c r="F95" s="42"/>
      <c r="H95" s="42"/>
      <c r="J95" s="42"/>
      <c r="K95" s="42"/>
      <c r="L95" s="42"/>
      <c r="M95" s="42"/>
      <c r="N95" s="42"/>
      <c r="O95" s="42"/>
      <c r="P95" s="42"/>
    </row>
    <row r="96" spans="4:16">
      <c r="D96" s="42"/>
      <c r="E96" s="42"/>
      <c r="F96" s="42"/>
      <c r="H96" s="42"/>
      <c r="J96" s="42"/>
      <c r="K96" s="42"/>
      <c r="L96" s="42"/>
      <c r="M96" s="42"/>
      <c r="N96" s="42"/>
      <c r="O96" s="42"/>
      <c r="P96" s="42"/>
    </row>
    <row r="97" spans="4:16">
      <c r="D97" s="42"/>
      <c r="E97" s="42"/>
      <c r="F97" s="42"/>
      <c r="H97" s="42"/>
      <c r="J97" s="42"/>
      <c r="K97" s="42"/>
      <c r="L97" s="42"/>
      <c r="M97" s="42"/>
      <c r="N97" s="42"/>
      <c r="O97" s="42"/>
      <c r="P97" s="42"/>
    </row>
    <row r="98" spans="4:16">
      <c r="D98" s="42"/>
      <c r="E98" s="42"/>
      <c r="F98" s="42"/>
      <c r="H98" s="42"/>
      <c r="J98" s="42"/>
      <c r="K98" s="42"/>
      <c r="L98" s="42"/>
      <c r="M98" s="42"/>
      <c r="N98" s="42"/>
      <c r="O98" s="42"/>
      <c r="P98" s="42"/>
    </row>
    <row r="99" spans="4:16">
      <c r="D99" s="42"/>
      <c r="E99" s="42"/>
      <c r="F99" s="42"/>
      <c r="H99" s="42"/>
      <c r="J99" s="42"/>
      <c r="K99" s="42"/>
      <c r="L99" s="42"/>
      <c r="M99" s="42"/>
      <c r="N99" s="42"/>
      <c r="O99" s="42"/>
      <c r="P99" s="42"/>
    </row>
    <row r="100" spans="4:16">
      <c r="D100" s="42"/>
      <c r="E100" s="42"/>
      <c r="F100" s="42"/>
      <c r="H100" s="42"/>
      <c r="J100" s="42"/>
      <c r="K100" s="42"/>
      <c r="L100" s="42"/>
      <c r="M100" s="42"/>
      <c r="N100" s="42"/>
      <c r="O100" s="42"/>
      <c r="P100" s="42"/>
    </row>
    <row r="101" spans="4:16">
      <c r="D101" s="42"/>
      <c r="E101" s="42"/>
      <c r="F101" s="42"/>
      <c r="H101" s="42"/>
      <c r="J101" s="42"/>
      <c r="K101" s="42"/>
      <c r="L101" s="42"/>
      <c r="M101" s="42"/>
      <c r="N101" s="42"/>
      <c r="O101" s="42"/>
      <c r="P101" s="42"/>
    </row>
    <row r="102" spans="4:16">
      <c r="D102" s="42"/>
      <c r="E102" s="42"/>
      <c r="F102" s="42"/>
      <c r="H102" s="42"/>
      <c r="J102" s="42"/>
      <c r="K102" s="42"/>
      <c r="L102" s="42"/>
      <c r="M102" s="42"/>
      <c r="N102" s="42"/>
      <c r="O102" s="42"/>
      <c r="P102" s="42"/>
    </row>
    <row r="103" spans="4:16">
      <c r="D103" s="42"/>
      <c r="E103" s="42"/>
      <c r="F103" s="42"/>
      <c r="H103" s="42"/>
      <c r="J103" s="42"/>
      <c r="K103" s="42"/>
      <c r="L103" s="42"/>
      <c r="M103" s="42"/>
      <c r="N103" s="42"/>
      <c r="O103" s="42"/>
      <c r="P103" s="42"/>
    </row>
    <row r="104" spans="4:16">
      <c r="D104" s="42"/>
      <c r="E104" s="42"/>
      <c r="F104" s="42"/>
      <c r="H104" s="42"/>
      <c r="J104" s="42"/>
      <c r="K104" s="42"/>
      <c r="L104" s="42"/>
      <c r="M104" s="42"/>
      <c r="N104" s="42"/>
      <c r="O104" s="42"/>
      <c r="P104" s="42"/>
    </row>
    <row r="105" spans="4:16">
      <c r="D105" s="42"/>
      <c r="E105" s="42"/>
      <c r="F105" s="42"/>
      <c r="H105" s="42"/>
      <c r="J105" s="42"/>
      <c r="K105" s="42"/>
      <c r="L105" s="42"/>
      <c r="M105" s="42"/>
      <c r="N105" s="42"/>
      <c r="O105" s="42"/>
      <c r="P105" s="42"/>
    </row>
    <row r="106" spans="4:16">
      <c r="D106" s="42"/>
      <c r="E106" s="42"/>
      <c r="F106" s="42"/>
      <c r="H106" s="42"/>
      <c r="J106" s="42"/>
      <c r="K106" s="42"/>
      <c r="L106" s="42"/>
      <c r="M106" s="42"/>
      <c r="N106" s="42"/>
      <c r="O106" s="42"/>
      <c r="P106" s="42"/>
    </row>
    <row r="107" spans="4:16">
      <c r="D107" s="42"/>
      <c r="E107" s="42"/>
      <c r="F107" s="42"/>
      <c r="H107" s="42"/>
      <c r="J107" s="42"/>
      <c r="K107" s="42"/>
      <c r="L107" s="42"/>
      <c r="M107" s="42"/>
      <c r="N107" s="42"/>
      <c r="O107" s="42"/>
      <c r="P107" s="42"/>
    </row>
    <row r="108" spans="4:16">
      <c r="D108" s="42"/>
      <c r="E108" s="42"/>
      <c r="F108" s="42"/>
      <c r="H108" s="42"/>
      <c r="J108" s="42"/>
      <c r="K108" s="42"/>
      <c r="L108" s="42"/>
      <c r="M108" s="42"/>
      <c r="N108" s="42"/>
      <c r="O108" s="42"/>
      <c r="P108" s="42"/>
    </row>
    <row r="109" spans="4:16">
      <c r="D109" s="42"/>
      <c r="E109" s="42"/>
      <c r="F109" s="42"/>
      <c r="H109" s="42"/>
      <c r="J109" s="42"/>
      <c r="K109" s="42"/>
      <c r="L109" s="42"/>
      <c r="M109" s="42"/>
      <c r="N109" s="42"/>
      <c r="O109" s="42"/>
      <c r="P109" s="42"/>
    </row>
    <row r="110" spans="4:16">
      <c r="D110" s="42"/>
      <c r="E110" s="42"/>
      <c r="F110" s="42"/>
      <c r="H110" s="42"/>
      <c r="J110" s="42"/>
      <c r="K110" s="42"/>
      <c r="L110" s="42"/>
      <c r="M110" s="42"/>
      <c r="N110" s="42"/>
      <c r="O110" s="42"/>
      <c r="P110" s="42"/>
    </row>
    <row r="111" spans="4:16">
      <c r="D111" s="42"/>
      <c r="E111" s="42"/>
      <c r="F111" s="42"/>
      <c r="H111" s="42"/>
      <c r="J111" s="42"/>
      <c r="K111" s="42"/>
      <c r="L111" s="42"/>
      <c r="M111" s="42"/>
      <c r="N111" s="42"/>
      <c r="O111" s="42"/>
      <c r="P111" s="42"/>
    </row>
    <row r="112" spans="4:16">
      <c r="D112" s="42"/>
      <c r="E112" s="42"/>
      <c r="F112" s="42"/>
      <c r="H112" s="42"/>
      <c r="J112" s="42"/>
      <c r="K112" s="42"/>
      <c r="L112" s="42"/>
      <c r="M112" s="42"/>
      <c r="N112" s="42"/>
      <c r="O112" s="42"/>
      <c r="P112" s="42"/>
    </row>
    <row r="113" spans="4:16">
      <c r="D113" s="42"/>
      <c r="E113" s="42"/>
      <c r="F113" s="42"/>
      <c r="H113" s="42"/>
      <c r="J113" s="42"/>
      <c r="K113" s="42"/>
      <c r="L113" s="42"/>
      <c r="M113" s="42"/>
      <c r="N113" s="42"/>
      <c r="O113" s="42"/>
      <c r="P113" s="42"/>
    </row>
    <row r="114" spans="4:16">
      <c r="D114" s="42"/>
      <c r="E114" s="42"/>
      <c r="F114" s="42"/>
      <c r="H114" s="42"/>
      <c r="J114" s="42"/>
      <c r="K114" s="42"/>
      <c r="L114" s="42"/>
      <c r="M114" s="42"/>
      <c r="N114" s="42"/>
      <c r="O114" s="42"/>
      <c r="P114" s="42"/>
    </row>
    <row r="115" spans="4:16">
      <c r="D115" s="42"/>
      <c r="E115" s="42"/>
      <c r="F115" s="42"/>
      <c r="H115" s="42"/>
      <c r="J115" s="42"/>
      <c r="K115" s="42"/>
      <c r="L115" s="42"/>
      <c r="M115" s="42"/>
      <c r="N115" s="42"/>
      <c r="O115" s="42"/>
      <c r="P115" s="42"/>
    </row>
    <row r="116" spans="4:16">
      <c r="D116" s="42"/>
      <c r="E116" s="42"/>
      <c r="F116" s="42"/>
      <c r="H116" s="42"/>
      <c r="J116" s="42"/>
      <c r="K116" s="42"/>
      <c r="L116" s="42"/>
      <c r="M116" s="42"/>
      <c r="N116" s="42"/>
      <c r="O116" s="42"/>
      <c r="P116" s="42"/>
    </row>
    <row r="117" spans="4:16">
      <c r="D117" s="42"/>
      <c r="E117" s="42"/>
      <c r="F117" s="42"/>
      <c r="H117" s="42"/>
      <c r="J117" s="42"/>
      <c r="K117" s="42"/>
      <c r="L117" s="42"/>
      <c r="M117" s="42"/>
      <c r="N117" s="42"/>
      <c r="O117" s="42"/>
      <c r="P117" s="42"/>
    </row>
    <row r="118" spans="4:16">
      <c r="D118" s="42"/>
      <c r="E118" s="42"/>
      <c r="F118" s="42"/>
      <c r="H118" s="42"/>
      <c r="J118" s="42"/>
      <c r="K118" s="42"/>
      <c r="L118" s="42"/>
      <c r="M118" s="42"/>
      <c r="N118" s="42"/>
      <c r="O118" s="42"/>
      <c r="P118" s="42"/>
    </row>
    <row r="119" spans="4:16">
      <c r="D119" s="42"/>
      <c r="E119" s="42"/>
      <c r="F119" s="42"/>
      <c r="H119" s="42"/>
      <c r="J119" s="42"/>
      <c r="K119" s="42"/>
      <c r="L119" s="42"/>
      <c r="M119" s="42"/>
      <c r="N119" s="42"/>
      <c r="O119" s="42"/>
      <c r="P119" s="42"/>
    </row>
    <row r="120" spans="4:16">
      <c r="D120" s="42"/>
      <c r="E120" s="42"/>
      <c r="F120" s="42"/>
      <c r="H120" s="42"/>
      <c r="J120" s="42"/>
      <c r="K120" s="42"/>
      <c r="L120" s="42"/>
      <c r="M120" s="42"/>
      <c r="N120" s="42"/>
      <c r="O120" s="42"/>
      <c r="P120" s="42"/>
    </row>
    <row r="121" spans="4:16">
      <c r="D121" s="42"/>
      <c r="E121" s="42"/>
      <c r="F121" s="42"/>
      <c r="H121" s="42"/>
      <c r="J121" s="42"/>
      <c r="K121" s="42"/>
      <c r="L121" s="42"/>
      <c r="M121" s="42"/>
      <c r="N121" s="42"/>
      <c r="O121" s="42"/>
      <c r="P121" s="42"/>
    </row>
    <row r="122" spans="4:16">
      <c r="D122" s="42"/>
      <c r="E122" s="42"/>
      <c r="F122" s="42"/>
      <c r="H122" s="42"/>
      <c r="J122" s="42"/>
      <c r="K122" s="42"/>
      <c r="L122" s="42"/>
      <c r="M122" s="42"/>
      <c r="N122" s="42"/>
      <c r="O122" s="42"/>
      <c r="P122" s="42"/>
    </row>
    <row r="123" spans="4:16">
      <c r="D123" s="42"/>
      <c r="E123" s="42"/>
      <c r="F123" s="42"/>
      <c r="H123" s="42"/>
      <c r="J123" s="42"/>
      <c r="K123" s="42"/>
      <c r="L123" s="42"/>
      <c r="M123" s="42"/>
      <c r="N123" s="42"/>
      <c r="O123" s="42"/>
      <c r="P123" s="42"/>
    </row>
    <row r="124" spans="4:16">
      <c r="D124" s="42"/>
      <c r="E124" s="42"/>
      <c r="F124" s="42"/>
      <c r="H124" s="42"/>
      <c r="J124" s="42"/>
      <c r="K124" s="42"/>
      <c r="L124" s="42"/>
      <c r="M124" s="42"/>
      <c r="N124" s="42"/>
      <c r="O124" s="42"/>
      <c r="P124" s="42"/>
    </row>
    <row r="125" spans="4:16">
      <c r="D125" s="42"/>
      <c r="E125" s="42"/>
      <c r="F125" s="42"/>
      <c r="H125" s="42"/>
      <c r="J125" s="42"/>
      <c r="K125" s="42"/>
      <c r="L125" s="42"/>
      <c r="M125" s="42"/>
      <c r="N125" s="42"/>
      <c r="O125" s="42"/>
      <c r="P125" s="42"/>
    </row>
    <row r="126" spans="4:16">
      <c r="D126" s="42"/>
      <c r="E126" s="42"/>
      <c r="F126" s="42"/>
      <c r="H126" s="42"/>
      <c r="J126" s="42"/>
      <c r="K126" s="42"/>
      <c r="L126" s="42"/>
      <c r="M126" s="42"/>
      <c r="N126" s="42"/>
      <c r="O126" s="42"/>
      <c r="P126" s="42"/>
    </row>
    <row r="127" spans="4:16">
      <c r="D127" s="42"/>
      <c r="E127" s="42"/>
      <c r="F127" s="42"/>
      <c r="H127" s="42"/>
      <c r="J127" s="42"/>
      <c r="K127" s="42"/>
      <c r="L127" s="42"/>
      <c r="M127" s="42"/>
      <c r="N127" s="42"/>
      <c r="O127" s="42"/>
      <c r="P127" s="42"/>
    </row>
    <row r="128" spans="4:16">
      <c r="D128" s="42"/>
      <c r="E128" s="42"/>
      <c r="F128" s="42"/>
      <c r="H128" s="42"/>
      <c r="J128" s="42"/>
      <c r="K128" s="42"/>
      <c r="L128" s="42"/>
      <c r="M128" s="42"/>
      <c r="N128" s="42"/>
      <c r="O128" s="42"/>
      <c r="P128" s="42"/>
    </row>
    <row r="129" spans="4:16">
      <c r="D129" s="42"/>
      <c r="E129" s="42"/>
      <c r="F129" s="42"/>
      <c r="H129" s="42"/>
      <c r="J129" s="42"/>
      <c r="K129" s="42"/>
      <c r="L129" s="42"/>
      <c r="M129" s="42"/>
      <c r="N129" s="42"/>
      <c r="O129" s="42"/>
      <c r="P129" s="42"/>
    </row>
    <row r="130" spans="4:16">
      <c r="D130" s="42"/>
      <c r="E130" s="42"/>
      <c r="F130" s="42"/>
      <c r="H130" s="42"/>
      <c r="J130" s="42"/>
      <c r="K130" s="42"/>
      <c r="L130" s="42"/>
      <c r="M130" s="42"/>
      <c r="N130" s="42"/>
      <c r="O130" s="42"/>
      <c r="P130" s="42"/>
    </row>
    <row r="131" spans="4:16">
      <c r="D131" s="42"/>
      <c r="E131" s="42"/>
      <c r="F131" s="42"/>
      <c r="H131" s="42"/>
      <c r="J131" s="42"/>
      <c r="K131" s="42"/>
      <c r="L131" s="42"/>
      <c r="M131" s="42"/>
      <c r="N131" s="42"/>
      <c r="O131" s="42"/>
      <c r="P131" s="42"/>
    </row>
    <row r="132" spans="4:16">
      <c r="D132" s="42"/>
      <c r="E132" s="42"/>
      <c r="F132" s="42"/>
      <c r="H132" s="42"/>
      <c r="J132" s="42"/>
      <c r="K132" s="42"/>
      <c r="L132" s="42"/>
      <c r="M132" s="42"/>
      <c r="N132" s="42"/>
      <c r="O132" s="42"/>
      <c r="P132" s="42"/>
    </row>
    <row r="133" spans="4:16">
      <c r="D133" s="42"/>
      <c r="E133" s="42"/>
      <c r="F133" s="42"/>
      <c r="H133" s="42"/>
      <c r="J133" s="42"/>
      <c r="K133" s="42"/>
      <c r="L133" s="42"/>
      <c r="M133" s="42"/>
      <c r="N133" s="42"/>
      <c r="O133" s="42"/>
      <c r="P133" s="42"/>
    </row>
  </sheetData>
  <hyperlinks>
    <hyperlink ref="K15" r:id="rId1" xr:uid="{00000000-0004-0000-0D00-000000000000}"/>
    <hyperlink ref="M6" r:id="rId2" xr:uid="{00000000-0004-0000-0D00-000001000000}"/>
    <hyperlink ref="M12" r:id="rId3" xr:uid="{00000000-0004-0000-0D00-000002000000}"/>
    <hyperlink ref="M30" r:id="rId4" xr:uid="{00000000-0004-0000-0D00-000003000000}"/>
    <hyperlink ref="K5" r:id="rId5" xr:uid="{00000000-0004-0000-0D00-000004000000}"/>
    <hyperlink ref="K6" r:id="rId6" xr:uid="{00000000-0004-0000-0D00-000005000000}"/>
    <hyperlink ref="K9" r:id="rId7" xr:uid="{00000000-0004-0000-0D00-000006000000}"/>
    <hyperlink ref="K14" r:id="rId8" xr:uid="{00000000-0004-0000-0D00-000007000000}"/>
    <hyperlink ref="K22" r:id="rId9" xr:uid="{00000000-0004-0000-0D00-000008000000}"/>
    <hyperlink ref="K25" r:id="rId10" xr:uid="{00000000-0004-0000-0D00-000009000000}"/>
  </hyperlinks>
  <pageMargins left="0.7" right="0.7" top="0.75" bottom="0.75" header="0.3" footer="0.3"/>
  <pageSetup paperSize="9" orientation="portrait" r:id="rId11"/>
  <tableParts count="1">
    <tablePart r:id="rId1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7">
    <tabColor theme="9" tint="-0.499984740745262"/>
  </sheetPr>
  <dimension ref="A1:T159"/>
  <sheetViews>
    <sheetView workbookViewId="0"/>
  </sheetViews>
  <sheetFormatPr baseColWidth="10" defaultColWidth="10.54296875" defaultRowHeight="14.5"/>
  <cols>
    <col min="1" max="1" width="16.54296875" style="8" customWidth="1"/>
    <col min="2" max="2" width="5" style="1" customWidth="1"/>
    <col min="3" max="3" width="10.54296875" style="1"/>
    <col min="4" max="4" width="13.453125" style="1" customWidth="1"/>
    <col min="5" max="5" width="11.1796875" style="1" customWidth="1"/>
    <col min="6" max="6" width="10.54296875" style="1"/>
    <col min="7" max="7" width="16.453125" style="1" customWidth="1"/>
    <col min="8" max="8" width="12.81640625" style="1" customWidth="1"/>
    <col min="9" max="9" width="10.54296875" style="1"/>
    <col min="10" max="10" width="12.453125" style="1" customWidth="1"/>
    <col min="11" max="11" width="11.54296875" style="1" customWidth="1"/>
    <col min="12" max="12" width="18.81640625" style="1" customWidth="1"/>
    <col min="13" max="13" width="18.54296875" style="1" customWidth="1"/>
    <col min="16" max="16" width="13.54296875" customWidth="1"/>
    <col min="19" max="19" width="16.54296875" style="1" bestFit="1" customWidth="1"/>
    <col min="20" max="20" width="16.453125" style="1" bestFit="1" customWidth="1"/>
    <col min="21" max="16384" width="10.54296875" style="1"/>
  </cols>
  <sheetData>
    <row r="1" spans="1:20" ht="11.15" customHeight="1">
      <c r="N1" s="1"/>
      <c r="O1" s="1"/>
      <c r="P1" s="1"/>
      <c r="Q1" s="1"/>
      <c r="R1" s="1"/>
    </row>
    <row r="2" spans="1:20" ht="20.149999999999999" customHeight="1">
      <c r="C2" s="54" t="s">
        <v>11</v>
      </c>
      <c r="D2" s="54"/>
      <c r="E2" s="54"/>
      <c r="F2" s="54"/>
      <c r="G2" s="54"/>
      <c r="H2" s="54"/>
      <c r="I2" s="54"/>
      <c r="J2" s="54"/>
      <c r="K2" s="54"/>
      <c r="L2" s="54"/>
      <c r="M2" s="54"/>
      <c r="N2" s="54"/>
      <c r="O2" s="54"/>
      <c r="P2" s="1"/>
      <c r="Q2" s="1"/>
      <c r="R2" s="1"/>
    </row>
    <row r="3" spans="1:20">
      <c r="N3" s="1"/>
      <c r="O3" s="1"/>
      <c r="P3" s="1"/>
      <c r="Q3" s="1"/>
      <c r="R3" s="1"/>
    </row>
    <row r="4" spans="1:20" ht="58">
      <c r="A4" s="9"/>
      <c r="C4" s="24" t="s">
        <v>18</v>
      </c>
      <c r="D4" s="23" t="s">
        <v>1022</v>
      </c>
      <c r="E4" s="23" t="s">
        <v>20</v>
      </c>
      <c r="F4" s="23" t="s">
        <v>1179</v>
      </c>
      <c r="G4" s="22" t="s">
        <v>22</v>
      </c>
      <c r="H4" s="22" t="s">
        <v>23</v>
      </c>
      <c r="I4" s="23" t="s">
        <v>1023</v>
      </c>
      <c r="J4" s="24" t="s">
        <v>1024</v>
      </c>
      <c r="K4" s="23" t="s">
        <v>25</v>
      </c>
      <c r="L4" s="23" t="s">
        <v>1180</v>
      </c>
      <c r="M4" s="23" t="s">
        <v>1026</v>
      </c>
      <c r="N4" s="23" t="s">
        <v>1181</v>
      </c>
      <c r="O4" s="23" t="s">
        <v>53</v>
      </c>
      <c r="P4" s="23" t="s">
        <v>29</v>
      </c>
      <c r="Q4" s="1"/>
      <c r="R4" s="1"/>
    </row>
    <row r="5" spans="1:20" ht="116">
      <c r="C5" s="27" t="s">
        <v>532</v>
      </c>
      <c r="D5" s="26" t="s">
        <v>1029</v>
      </c>
      <c r="E5" s="26" t="s">
        <v>977</v>
      </c>
      <c r="F5" s="27" t="s">
        <v>1182</v>
      </c>
      <c r="G5" s="26" t="s">
        <v>11</v>
      </c>
      <c r="H5" s="26" t="s">
        <v>997</v>
      </c>
      <c r="I5" s="27" t="s">
        <v>1031</v>
      </c>
      <c r="J5" s="27" t="s">
        <v>53</v>
      </c>
      <c r="K5" s="33" t="s">
        <v>667</v>
      </c>
      <c r="L5" s="26" t="s">
        <v>1004</v>
      </c>
      <c r="M5" s="33" t="s">
        <v>669</v>
      </c>
      <c r="N5" s="27" t="s">
        <v>1005</v>
      </c>
      <c r="O5" s="27" t="s">
        <v>1032</v>
      </c>
      <c r="P5" s="51" t="s">
        <v>116</v>
      </c>
      <c r="Q5" s="1"/>
      <c r="R5" s="1"/>
    </row>
    <row r="6" spans="1:20" ht="130.5">
      <c r="C6" s="27" t="s">
        <v>42</v>
      </c>
      <c r="D6" s="26" t="s">
        <v>695</v>
      </c>
      <c r="E6" s="26" t="s">
        <v>696</v>
      </c>
      <c r="F6" s="27" t="s">
        <v>1183</v>
      </c>
      <c r="G6" s="26" t="s">
        <v>11</v>
      </c>
      <c r="H6" s="26" t="s">
        <v>705</v>
      </c>
      <c r="I6" s="27" t="s">
        <v>1031</v>
      </c>
      <c r="J6" s="27" t="s">
        <v>53</v>
      </c>
      <c r="K6" s="33" t="s">
        <v>1057</v>
      </c>
      <c r="L6" s="26" t="s">
        <v>707</v>
      </c>
      <c r="M6" s="33" t="s">
        <v>1058</v>
      </c>
      <c r="N6" s="27" t="s">
        <v>710</v>
      </c>
      <c r="O6" s="27" t="s">
        <v>1032</v>
      </c>
      <c r="P6" s="51" t="s">
        <v>116</v>
      </c>
      <c r="Q6" s="1"/>
      <c r="R6" s="1"/>
    </row>
    <row r="7" spans="1:20" ht="174">
      <c r="C7" s="27" t="s">
        <v>119</v>
      </c>
      <c r="D7" s="26" t="s">
        <v>1128</v>
      </c>
      <c r="E7" s="26" t="s">
        <v>916</v>
      </c>
      <c r="F7" s="27" t="s">
        <v>1184</v>
      </c>
      <c r="G7" s="26" t="s">
        <v>11</v>
      </c>
      <c r="H7" s="26" t="s">
        <v>918</v>
      </c>
      <c r="I7" s="27" t="s">
        <v>1031</v>
      </c>
      <c r="J7" s="27" t="s">
        <v>53</v>
      </c>
      <c r="K7" s="33" t="s">
        <v>746</v>
      </c>
      <c r="L7" s="26" t="s">
        <v>1185</v>
      </c>
      <c r="M7" s="33" t="s">
        <v>748</v>
      </c>
      <c r="N7" s="27" t="s">
        <v>1186</v>
      </c>
      <c r="O7" s="27" t="s">
        <v>1032</v>
      </c>
      <c r="P7" s="51" t="s">
        <v>116</v>
      </c>
      <c r="Q7" s="1"/>
      <c r="R7" s="1"/>
    </row>
    <row r="8" spans="1:20" ht="72.5">
      <c r="C8" s="27" t="s">
        <v>119</v>
      </c>
      <c r="D8" s="26" t="s">
        <v>1067</v>
      </c>
      <c r="E8" s="26" t="s">
        <v>916</v>
      </c>
      <c r="F8" s="27" t="s">
        <v>1187</v>
      </c>
      <c r="G8" s="26" t="s">
        <v>11</v>
      </c>
      <c r="H8" s="26" t="s">
        <v>1080</v>
      </c>
      <c r="I8" s="27" t="s">
        <v>1031</v>
      </c>
      <c r="J8" s="27" t="s">
        <v>53</v>
      </c>
      <c r="K8" s="33" t="s">
        <v>746</v>
      </c>
      <c r="L8" s="26" t="s">
        <v>1185</v>
      </c>
      <c r="M8" s="33" t="s">
        <v>748</v>
      </c>
      <c r="N8" s="27" t="s">
        <v>1188</v>
      </c>
      <c r="O8" s="27" t="s">
        <v>1032</v>
      </c>
      <c r="P8" s="51" t="s">
        <v>116</v>
      </c>
      <c r="Q8" s="1"/>
      <c r="R8" s="1"/>
    </row>
    <row r="9" spans="1:20" ht="261">
      <c r="C9" s="27" t="s">
        <v>1083</v>
      </c>
      <c r="D9" s="26" t="s">
        <v>1189</v>
      </c>
      <c r="E9" s="26" t="s">
        <v>359</v>
      </c>
      <c r="F9" s="27" t="s">
        <v>1190</v>
      </c>
      <c r="G9" s="26" t="s">
        <v>11</v>
      </c>
      <c r="H9" s="26" t="s">
        <v>361</v>
      </c>
      <c r="I9" s="27" t="s">
        <v>161</v>
      </c>
      <c r="J9" s="27" t="s">
        <v>349</v>
      </c>
      <c r="K9" s="33" t="s">
        <v>362</v>
      </c>
      <c r="L9" s="26" t="s">
        <v>363</v>
      </c>
      <c r="M9" s="34"/>
      <c r="N9" s="27" t="s">
        <v>1191</v>
      </c>
      <c r="O9" s="27" t="s">
        <v>1032</v>
      </c>
      <c r="P9" s="51" t="s">
        <v>116</v>
      </c>
      <c r="Q9" s="1"/>
      <c r="R9" s="1"/>
    </row>
    <row r="10" spans="1:20" ht="101.5">
      <c r="C10" s="27" t="s">
        <v>119</v>
      </c>
      <c r="D10" s="26" t="s">
        <v>1128</v>
      </c>
      <c r="E10" s="26" t="s">
        <v>916</v>
      </c>
      <c r="F10" s="27" t="s">
        <v>1192</v>
      </c>
      <c r="G10" s="26" t="s">
        <v>11</v>
      </c>
      <c r="H10" s="26" t="s">
        <v>1090</v>
      </c>
      <c r="I10" s="27" t="s">
        <v>1031</v>
      </c>
      <c r="J10" s="27" t="s">
        <v>53</v>
      </c>
      <c r="K10" s="33" t="s">
        <v>746</v>
      </c>
      <c r="L10" s="26" t="s">
        <v>1185</v>
      </c>
      <c r="M10" s="33" t="s">
        <v>748</v>
      </c>
      <c r="N10" s="27" t="s">
        <v>1193</v>
      </c>
      <c r="O10" s="27" t="s">
        <v>1032</v>
      </c>
      <c r="P10" s="51" t="s">
        <v>116</v>
      </c>
      <c r="Q10" s="1"/>
      <c r="R10" s="1"/>
    </row>
    <row r="11" spans="1:20" ht="188.5">
      <c r="C11" s="27" t="s">
        <v>1098</v>
      </c>
      <c r="D11" s="26" t="s">
        <v>418</v>
      </c>
      <c r="E11" s="26" t="s">
        <v>427</v>
      </c>
      <c r="F11" s="27" t="s">
        <v>1099</v>
      </c>
      <c r="G11" s="26" t="s">
        <v>11</v>
      </c>
      <c r="H11" s="26" t="s">
        <v>448</v>
      </c>
      <c r="I11" s="27" t="s">
        <v>1031</v>
      </c>
      <c r="J11" s="27" t="s">
        <v>53</v>
      </c>
      <c r="K11" s="33" t="s">
        <v>449</v>
      </c>
      <c r="L11" s="26" t="s">
        <v>482</v>
      </c>
      <c r="M11" s="33" t="s">
        <v>451</v>
      </c>
      <c r="N11" s="27" t="s">
        <v>483</v>
      </c>
      <c r="O11" s="27" t="s">
        <v>1032</v>
      </c>
      <c r="P11" s="51" t="s">
        <v>116</v>
      </c>
      <c r="Q11" s="1"/>
      <c r="R11" s="1"/>
    </row>
    <row r="12" spans="1:20" ht="58">
      <c r="C12" s="27" t="s">
        <v>119</v>
      </c>
      <c r="D12" s="26" t="s">
        <v>1194</v>
      </c>
      <c r="E12" s="26" t="s">
        <v>427</v>
      </c>
      <c r="F12" s="27" t="s">
        <v>1195</v>
      </c>
      <c r="G12" s="26" t="s">
        <v>11</v>
      </c>
      <c r="H12" s="26" t="s">
        <v>1196</v>
      </c>
      <c r="I12" s="27" t="s">
        <v>1031</v>
      </c>
      <c r="J12" s="27" t="s">
        <v>36</v>
      </c>
      <c r="K12" s="33" t="s">
        <v>422</v>
      </c>
      <c r="L12" s="26" t="s">
        <v>479</v>
      </c>
      <c r="M12" s="33" t="s">
        <v>424</v>
      </c>
      <c r="N12" s="27" t="s">
        <v>1197</v>
      </c>
      <c r="O12" s="27" t="s">
        <v>1032</v>
      </c>
      <c r="P12" s="51" t="s">
        <v>116</v>
      </c>
      <c r="Q12" s="1"/>
      <c r="R12" s="1"/>
    </row>
    <row r="13" spans="1:20" ht="58">
      <c r="C13" s="37" t="s">
        <v>152</v>
      </c>
      <c r="D13" s="30" t="s">
        <v>966</v>
      </c>
      <c r="E13" s="30" t="s">
        <v>1198</v>
      </c>
      <c r="F13" s="37" t="s">
        <v>1199</v>
      </c>
      <c r="G13" s="30" t="s">
        <v>11</v>
      </c>
      <c r="H13" s="30" t="s">
        <v>1200</v>
      </c>
      <c r="I13" s="37" t="s">
        <v>161</v>
      </c>
      <c r="J13" s="37" t="s">
        <v>53</v>
      </c>
      <c r="K13" s="35" t="s">
        <v>1201</v>
      </c>
      <c r="L13" s="30" t="s">
        <v>1202</v>
      </c>
      <c r="M13" s="35" t="s">
        <v>206</v>
      </c>
      <c r="N13" s="37" t="s">
        <v>1203</v>
      </c>
      <c r="O13" s="37" t="s">
        <v>1032</v>
      </c>
      <c r="P13" s="51" t="s">
        <v>116</v>
      </c>
      <c r="Q13" s="1"/>
      <c r="R13" s="1"/>
    </row>
    <row r="14" spans="1:20" ht="58">
      <c r="C14" s="30" t="s">
        <v>68</v>
      </c>
      <c r="D14" s="30" t="s">
        <v>69</v>
      </c>
      <c r="E14" s="30">
        <v>89011</v>
      </c>
      <c r="F14" s="30" t="s">
        <v>90</v>
      </c>
      <c r="G14" s="30" t="s">
        <v>1204</v>
      </c>
      <c r="H14" s="30" t="s">
        <v>91</v>
      </c>
      <c r="I14" s="30" t="s">
        <v>1031</v>
      </c>
      <c r="J14" s="30" t="s">
        <v>53</v>
      </c>
      <c r="K14" s="40" t="s">
        <v>92</v>
      </c>
      <c r="L14" s="30" t="s">
        <v>115</v>
      </c>
      <c r="M14" s="40" t="s">
        <v>94</v>
      </c>
      <c r="N14" s="41" t="s">
        <v>95</v>
      </c>
      <c r="O14" s="41" t="s">
        <v>1032</v>
      </c>
      <c r="P14" s="51" t="s">
        <v>116</v>
      </c>
      <c r="Q14" s="42"/>
      <c r="R14" s="42"/>
      <c r="S14" s="42"/>
      <c r="T14" s="42"/>
    </row>
    <row r="15" spans="1:20">
      <c r="C15" s="42"/>
      <c r="D15" s="42"/>
      <c r="E15" s="42"/>
      <c r="F15" s="42"/>
      <c r="G15" s="42"/>
      <c r="H15" s="42"/>
      <c r="I15" s="42"/>
      <c r="J15" s="42"/>
      <c r="K15" s="42"/>
      <c r="L15" s="42"/>
      <c r="M15" s="42"/>
      <c r="N15" s="42"/>
      <c r="O15" s="42"/>
      <c r="P15" s="42"/>
      <c r="Q15" s="42"/>
      <c r="R15" s="42"/>
      <c r="S15" s="42"/>
      <c r="T15" s="42"/>
    </row>
    <row r="16" spans="1:20">
      <c r="C16" s="42"/>
      <c r="D16" s="42"/>
      <c r="E16" s="42"/>
      <c r="F16" s="42"/>
      <c r="G16" s="42"/>
      <c r="H16" s="42"/>
      <c r="I16" s="42"/>
      <c r="J16" s="42"/>
      <c r="K16" s="42"/>
      <c r="L16" s="42"/>
      <c r="M16" s="42"/>
      <c r="N16" s="42"/>
      <c r="O16" s="42"/>
      <c r="P16" s="42"/>
      <c r="Q16" s="42"/>
      <c r="R16" s="42"/>
      <c r="S16" s="42"/>
      <c r="T16" s="42"/>
    </row>
    <row r="17" spans="3:20">
      <c r="C17" s="42"/>
      <c r="D17" s="42"/>
      <c r="E17" s="42"/>
      <c r="F17" s="42"/>
      <c r="G17" s="42"/>
      <c r="H17" s="42"/>
      <c r="I17" s="42"/>
      <c r="J17" s="42"/>
      <c r="K17" s="42"/>
      <c r="L17" s="42"/>
      <c r="M17" s="42"/>
      <c r="N17" s="42"/>
      <c r="O17" s="42"/>
      <c r="P17" s="42"/>
      <c r="Q17" s="42"/>
      <c r="R17" s="42"/>
      <c r="S17" s="42"/>
      <c r="T17" s="42"/>
    </row>
    <row r="18" spans="3:20">
      <c r="C18" s="42"/>
      <c r="D18" s="42"/>
      <c r="E18" s="42"/>
      <c r="F18" s="42"/>
      <c r="G18" s="42"/>
      <c r="H18" s="42"/>
      <c r="I18" s="42"/>
      <c r="J18" s="42"/>
      <c r="K18" s="42"/>
      <c r="L18" s="42"/>
      <c r="M18" s="42"/>
      <c r="N18" s="42"/>
      <c r="O18" s="42"/>
      <c r="P18" s="42"/>
      <c r="Q18" s="42"/>
      <c r="R18" s="42"/>
      <c r="S18" s="42"/>
      <c r="T18" s="42"/>
    </row>
    <row r="19" spans="3:20">
      <c r="C19" s="42"/>
      <c r="D19" s="42"/>
      <c r="E19" s="42"/>
      <c r="F19" s="42"/>
      <c r="G19" s="42"/>
      <c r="H19" s="42"/>
      <c r="I19" s="42"/>
      <c r="J19" s="42"/>
      <c r="K19" s="42"/>
      <c r="L19" s="42"/>
      <c r="M19" s="42"/>
      <c r="N19" s="42"/>
      <c r="O19" s="42"/>
      <c r="P19" s="42"/>
      <c r="Q19" s="42"/>
      <c r="R19" s="42"/>
      <c r="S19" s="42"/>
      <c r="T19" s="42"/>
    </row>
    <row r="20" spans="3:20">
      <c r="C20" s="42"/>
      <c r="D20" s="42"/>
      <c r="E20" s="42"/>
      <c r="F20" s="42"/>
      <c r="G20" s="42"/>
      <c r="H20" s="42"/>
      <c r="I20" s="42"/>
      <c r="J20" s="42"/>
      <c r="K20" s="42"/>
      <c r="L20" s="42"/>
      <c r="M20" s="42"/>
      <c r="N20" s="42"/>
      <c r="O20" s="42"/>
      <c r="P20" s="42"/>
      <c r="Q20" s="42"/>
      <c r="R20" s="42"/>
      <c r="S20" s="42"/>
      <c r="T20" s="42"/>
    </row>
    <row r="21" spans="3:20">
      <c r="C21" s="42"/>
      <c r="D21" s="42"/>
      <c r="E21" s="42"/>
      <c r="F21" s="42"/>
      <c r="G21" s="42"/>
      <c r="H21" s="42"/>
      <c r="I21" s="42"/>
      <c r="J21" s="42"/>
      <c r="K21" s="42"/>
      <c r="L21" s="42"/>
      <c r="M21" s="42"/>
      <c r="N21" s="42"/>
      <c r="O21" s="42"/>
      <c r="P21" s="42"/>
      <c r="Q21" s="42"/>
      <c r="R21" s="42"/>
      <c r="S21" s="42"/>
      <c r="T21" s="42"/>
    </row>
    <row r="22" spans="3:20">
      <c r="C22" s="42"/>
      <c r="D22" s="42"/>
      <c r="E22" s="42"/>
      <c r="F22" s="42"/>
      <c r="G22" s="42"/>
      <c r="H22" s="42"/>
      <c r="I22" s="42"/>
      <c r="J22" s="42"/>
      <c r="K22" s="42"/>
      <c r="L22" s="42"/>
      <c r="M22" s="42"/>
      <c r="N22" s="42"/>
      <c r="O22" s="42"/>
      <c r="P22" s="42"/>
      <c r="Q22" s="42"/>
      <c r="R22" s="42"/>
      <c r="S22" s="42"/>
      <c r="T22" s="42"/>
    </row>
    <row r="23" spans="3:20">
      <c r="C23" s="42"/>
      <c r="D23" s="42"/>
      <c r="E23" s="42"/>
      <c r="F23" s="42"/>
      <c r="G23" s="42"/>
      <c r="H23" s="42"/>
      <c r="I23" s="42"/>
      <c r="J23" s="42"/>
      <c r="K23" s="42"/>
      <c r="L23" s="42"/>
      <c r="M23" s="42"/>
      <c r="N23" s="42"/>
      <c r="O23" s="42"/>
      <c r="P23" s="42"/>
      <c r="Q23" s="42"/>
      <c r="R23" s="42"/>
      <c r="S23" s="42"/>
      <c r="T23" s="42"/>
    </row>
    <row r="24" spans="3:20">
      <c r="C24" s="42"/>
      <c r="D24" s="42"/>
      <c r="E24" s="42"/>
      <c r="F24" s="42"/>
      <c r="G24" s="42"/>
      <c r="H24" s="42"/>
      <c r="I24" s="42"/>
      <c r="J24" s="42"/>
      <c r="K24" s="42"/>
      <c r="L24" s="42"/>
      <c r="M24" s="42"/>
      <c r="N24" s="42"/>
      <c r="O24" s="42"/>
      <c r="P24" s="42"/>
      <c r="Q24" s="42"/>
      <c r="R24" s="42"/>
      <c r="S24" s="42"/>
      <c r="T24" s="42"/>
    </row>
    <row r="25" spans="3:20">
      <c r="C25" s="42"/>
      <c r="D25" s="42"/>
      <c r="E25" s="42"/>
      <c r="F25" s="42"/>
      <c r="G25" s="42"/>
      <c r="H25" s="42"/>
      <c r="I25" s="42"/>
      <c r="J25" s="42"/>
      <c r="K25" s="42"/>
      <c r="L25" s="42"/>
      <c r="M25" s="42"/>
      <c r="N25" s="42"/>
      <c r="O25" s="42"/>
      <c r="P25" s="42"/>
      <c r="Q25" s="42"/>
      <c r="R25" s="42"/>
      <c r="S25" s="42"/>
      <c r="T25" s="42"/>
    </row>
    <row r="26" spans="3:20">
      <c r="C26" s="42"/>
      <c r="D26" s="42"/>
      <c r="E26" s="42"/>
      <c r="F26" s="42"/>
      <c r="G26" s="42"/>
      <c r="H26" s="42"/>
      <c r="I26" s="42"/>
      <c r="J26" s="42"/>
      <c r="K26" s="42"/>
      <c r="L26" s="42"/>
      <c r="M26" s="42"/>
      <c r="N26" s="42"/>
      <c r="O26" s="42"/>
      <c r="P26" s="42"/>
      <c r="Q26" s="42"/>
      <c r="R26" s="42"/>
      <c r="S26" s="42"/>
      <c r="T26" s="42"/>
    </row>
    <row r="27" spans="3:20">
      <c r="C27" s="42"/>
      <c r="D27" s="42"/>
      <c r="E27" s="42"/>
      <c r="F27" s="42"/>
      <c r="G27" s="42"/>
      <c r="H27" s="42"/>
      <c r="I27" s="42"/>
      <c r="J27" s="42"/>
      <c r="K27" s="42"/>
      <c r="L27" s="42"/>
      <c r="M27" s="42"/>
      <c r="N27" s="42"/>
      <c r="O27" s="42"/>
      <c r="P27" s="42"/>
      <c r="Q27" s="42"/>
      <c r="R27" s="42"/>
      <c r="S27" s="42"/>
      <c r="T27" s="42"/>
    </row>
    <row r="28" spans="3:20">
      <c r="C28" s="42"/>
      <c r="D28" s="42"/>
      <c r="E28" s="42"/>
      <c r="F28" s="42"/>
      <c r="G28" s="42"/>
      <c r="H28" s="42"/>
      <c r="I28" s="42"/>
      <c r="J28" s="42"/>
      <c r="K28" s="42"/>
      <c r="L28" s="42"/>
      <c r="M28" s="42"/>
      <c r="N28" s="42"/>
      <c r="O28" s="42"/>
      <c r="P28" s="42"/>
      <c r="Q28" s="42"/>
      <c r="R28" s="42"/>
      <c r="S28" s="42"/>
      <c r="T28" s="42"/>
    </row>
    <row r="29" spans="3:20">
      <c r="C29" s="42"/>
      <c r="D29" s="42"/>
      <c r="E29" s="42"/>
      <c r="F29" s="42"/>
      <c r="G29" s="42"/>
      <c r="H29" s="42"/>
      <c r="I29" s="42"/>
      <c r="J29" s="42"/>
      <c r="K29" s="42"/>
      <c r="L29" s="42"/>
      <c r="M29" s="42"/>
      <c r="N29" s="42"/>
      <c r="O29" s="42"/>
      <c r="P29" s="42"/>
      <c r="Q29" s="42"/>
      <c r="R29" s="42"/>
      <c r="S29" s="42"/>
      <c r="T29" s="42"/>
    </row>
    <row r="30" spans="3:20">
      <c r="C30" s="42"/>
      <c r="D30" s="42"/>
      <c r="E30" s="42"/>
      <c r="F30" s="42"/>
      <c r="G30" s="42"/>
      <c r="H30" s="42"/>
      <c r="I30" s="42"/>
      <c r="J30" s="42"/>
      <c r="K30" s="42"/>
      <c r="L30" s="42"/>
      <c r="M30" s="42"/>
      <c r="N30" s="42"/>
      <c r="O30" s="42"/>
      <c r="P30" s="42"/>
      <c r="Q30" s="42"/>
      <c r="R30" s="42"/>
      <c r="S30" s="42"/>
      <c r="T30" s="42"/>
    </row>
    <row r="31" spans="3:20">
      <c r="C31" s="42"/>
      <c r="D31" s="42"/>
      <c r="E31" s="42"/>
      <c r="F31" s="42"/>
      <c r="G31" s="42"/>
      <c r="H31" s="42"/>
      <c r="I31" s="42"/>
      <c r="J31" s="42"/>
      <c r="K31" s="42"/>
      <c r="L31" s="42"/>
      <c r="M31" s="42"/>
      <c r="N31" s="42"/>
      <c r="O31" s="42"/>
      <c r="P31" s="42"/>
      <c r="Q31" s="42"/>
      <c r="R31" s="42"/>
      <c r="S31" s="42"/>
      <c r="T31" s="42"/>
    </row>
    <row r="32" spans="3:20">
      <c r="C32" s="42"/>
      <c r="D32" s="42"/>
      <c r="E32" s="42"/>
      <c r="F32" s="42"/>
      <c r="G32" s="42"/>
      <c r="H32" s="42"/>
      <c r="I32" s="42"/>
      <c r="J32" s="42"/>
      <c r="K32" s="42"/>
      <c r="L32" s="42"/>
      <c r="M32" s="42"/>
      <c r="N32" s="42"/>
      <c r="O32" s="42"/>
      <c r="P32" s="42"/>
      <c r="Q32" s="42"/>
      <c r="R32" s="42"/>
      <c r="S32" s="42"/>
      <c r="T32" s="42"/>
    </row>
    <row r="33" spans="3:20">
      <c r="C33" s="42"/>
      <c r="D33" s="42"/>
      <c r="E33" s="42"/>
      <c r="F33" s="42"/>
      <c r="G33" s="42"/>
      <c r="H33" s="42"/>
      <c r="I33" s="42"/>
      <c r="J33" s="42"/>
      <c r="K33" s="42"/>
      <c r="L33" s="42"/>
      <c r="M33" s="42"/>
      <c r="N33" s="42"/>
      <c r="O33" s="42"/>
      <c r="P33" s="42"/>
      <c r="Q33" s="42"/>
      <c r="R33" s="42"/>
      <c r="S33" s="42"/>
      <c r="T33" s="42"/>
    </row>
    <row r="34" spans="3:20">
      <c r="C34" s="42"/>
      <c r="D34" s="42"/>
      <c r="E34" s="42"/>
      <c r="F34" s="42"/>
      <c r="G34" s="42"/>
      <c r="H34" s="42"/>
      <c r="I34" s="42"/>
      <c r="J34" s="42"/>
      <c r="K34" s="42"/>
      <c r="L34" s="42"/>
      <c r="M34" s="42"/>
      <c r="N34" s="42"/>
      <c r="O34" s="42"/>
      <c r="P34" s="42"/>
      <c r="Q34" s="42"/>
      <c r="R34" s="42"/>
      <c r="S34" s="42"/>
      <c r="T34" s="42"/>
    </row>
    <row r="35" spans="3:20">
      <c r="C35" s="42"/>
      <c r="D35" s="42"/>
      <c r="E35" s="42"/>
      <c r="F35" s="42"/>
      <c r="G35" s="42"/>
      <c r="H35" s="42"/>
      <c r="I35" s="42"/>
      <c r="J35" s="42"/>
      <c r="K35" s="42"/>
      <c r="L35" s="42"/>
      <c r="M35" s="42"/>
      <c r="N35" s="42"/>
      <c r="O35" s="42"/>
      <c r="P35" s="42"/>
      <c r="Q35" s="42"/>
      <c r="R35" s="42"/>
      <c r="S35" s="42"/>
      <c r="T35" s="42"/>
    </row>
    <row r="36" spans="3:20">
      <c r="C36" s="42"/>
      <c r="D36" s="42"/>
      <c r="E36" s="42"/>
      <c r="F36" s="42"/>
      <c r="G36" s="42"/>
      <c r="H36" s="42"/>
      <c r="I36" s="42"/>
      <c r="J36" s="42"/>
      <c r="K36" s="42"/>
      <c r="L36" s="42"/>
      <c r="M36" s="42"/>
      <c r="N36" s="42"/>
      <c r="O36" s="42"/>
      <c r="P36" s="42"/>
      <c r="Q36" s="42"/>
      <c r="R36" s="42"/>
      <c r="S36" s="42"/>
      <c r="T36" s="42"/>
    </row>
    <row r="37" spans="3:20">
      <c r="C37" s="42"/>
      <c r="D37" s="42"/>
      <c r="E37" s="42"/>
      <c r="F37" s="42"/>
      <c r="G37" s="42"/>
      <c r="H37" s="42"/>
      <c r="I37" s="42"/>
      <c r="J37" s="42"/>
      <c r="K37" s="42"/>
      <c r="L37" s="42"/>
      <c r="M37" s="42"/>
      <c r="N37" s="42"/>
      <c r="O37" s="42"/>
      <c r="P37" s="42"/>
      <c r="Q37" s="42"/>
      <c r="R37" s="42"/>
      <c r="S37" s="42"/>
      <c r="T37" s="42"/>
    </row>
    <row r="38" spans="3:20">
      <c r="C38" s="42"/>
      <c r="D38" s="42"/>
      <c r="E38" s="42"/>
      <c r="F38" s="42"/>
      <c r="G38" s="42"/>
      <c r="H38" s="42"/>
      <c r="I38" s="42"/>
      <c r="J38" s="42"/>
      <c r="K38" s="42"/>
      <c r="L38" s="42"/>
      <c r="M38" s="42"/>
      <c r="N38" s="42"/>
      <c r="O38" s="42"/>
      <c r="P38" s="42"/>
      <c r="Q38" s="42"/>
      <c r="R38" s="42"/>
      <c r="S38" s="42"/>
      <c r="T38" s="42"/>
    </row>
    <row r="39" spans="3:20">
      <c r="C39" s="42"/>
      <c r="D39" s="42"/>
      <c r="E39" s="42"/>
      <c r="F39" s="42"/>
      <c r="G39" s="42"/>
      <c r="H39" s="42"/>
      <c r="I39" s="42"/>
      <c r="J39" s="42"/>
      <c r="K39" s="42"/>
      <c r="L39" s="42"/>
      <c r="M39" s="42"/>
      <c r="N39" s="42"/>
      <c r="O39" s="42"/>
      <c r="P39" s="42"/>
      <c r="Q39" s="42"/>
      <c r="R39" s="42"/>
      <c r="S39" s="42"/>
      <c r="T39" s="42"/>
    </row>
    <row r="40" spans="3:20">
      <c r="C40" s="42"/>
      <c r="D40" s="42"/>
      <c r="E40" s="42"/>
      <c r="F40" s="42"/>
      <c r="G40" s="42"/>
      <c r="H40" s="42"/>
      <c r="I40" s="42"/>
      <c r="J40" s="42"/>
      <c r="K40" s="42"/>
      <c r="L40" s="42"/>
      <c r="M40" s="42"/>
      <c r="S40" s="42"/>
      <c r="T40" s="42"/>
    </row>
    <row r="41" spans="3:20">
      <c r="C41" s="42"/>
      <c r="D41" s="42"/>
      <c r="E41" s="42"/>
      <c r="F41" s="42"/>
      <c r="G41" s="42"/>
      <c r="H41" s="42"/>
      <c r="I41" s="42"/>
      <c r="J41" s="42"/>
      <c r="K41" s="42"/>
      <c r="L41" s="42"/>
      <c r="M41" s="42"/>
      <c r="S41" s="42"/>
      <c r="T41" s="42"/>
    </row>
    <row r="42" spans="3:20">
      <c r="C42" s="42"/>
      <c r="D42" s="42"/>
      <c r="E42" s="42"/>
      <c r="F42" s="42"/>
      <c r="G42" s="42"/>
      <c r="H42" s="42"/>
      <c r="I42" s="42"/>
      <c r="J42" s="42"/>
      <c r="K42" s="42"/>
      <c r="L42" s="42"/>
      <c r="M42" s="42"/>
      <c r="S42" s="42"/>
      <c r="T42" s="42"/>
    </row>
    <row r="43" spans="3:20">
      <c r="C43" s="42"/>
      <c r="D43" s="42"/>
      <c r="E43" s="42"/>
      <c r="F43" s="42"/>
      <c r="G43" s="42"/>
      <c r="H43" s="42"/>
      <c r="I43" s="42"/>
      <c r="J43" s="42"/>
      <c r="K43" s="42"/>
      <c r="L43" s="42"/>
      <c r="M43" s="42"/>
      <c r="S43" s="42"/>
      <c r="T43" s="42"/>
    </row>
    <row r="44" spans="3:20">
      <c r="C44" s="42"/>
      <c r="D44" s="42"/>
      <c r="E44" s="42"/>
      <c r="F44" s="42"/>
      <c r="G44" s="42"/>
      <c r="H44" s="42"/>
      <c r="I44" s="42"/>
      <c r="J44" s="42"/>
      <c r="K44" s="42"/>
      <c r="L44" s="42"/>
      <c r="M44" s="42"/>
      <c r="S44" s="42"/>
      <c r="T44" s="42"/>
    </row>
    <row r="45" spans="3:20">
      <c r="C45" s="42"/>
      <c r="D45" s="42"/>
      <c r="E45" s="42"/>
      <c r="F45" s="42"/>
      <c r="G45" s="42"/>
      <c r="H45" s="42"/>
      <c r="I45" s="42"/>
      <c r="J45" s="42"/>
      <c r="K45" s="42"/>
      <c r="L45" s="42"/>
      <c r="M45" s="42"/>
      <c r="S45" s="42"/>
      <c r="T45" s="42"/>
    </row>
    <row r="46" spans="3:20">
      <c r="C46" s="42"/>
      <c r="D46" s="42"/>
      <c r="E46" s="42"/>
      <c r="F46" s="42"/>
      <c r="G46" s="42"/>
      <c r="H46" s="42"/>
      <c r="I46" s="42"/>
      <c r="J46" s="42"/>
      <c r="K46" s="42"/>
      <c r="L46" s="42"/>
      <c r="M46" s="42"/>
      <c r="S46" s="42"/>
      <c r="T46" s="42"/>
    </row>
    <row r="47" spans="3:20">
      <c r="C47" s="42"/>
      <c r="D47" s="42"/>
      <c r="E47" s="42"/>
      <c r="F47" s="42"/>
      <c r="G47" s="42"/>
      <c r="H47" s="42"/>
      <c r="I47" s="42"/>
      <c r="J47" s="42"/>
      <c r="K47" s="42"/>
      <c r="L47" s="42"/>
      <c r="M47" s="42"/>
      <c r="S47" s="42"/>
      <c r="T47" s="42"/>
    </row>
    <row r="48" spans="3:20">
      <c r="C48" s="42"/>
      <c r="D48" s="42"/>
      <c r="E48" s="42"/>
      <c r="F48" s="42"/>
      <c r="G48" s="42"/>
      <c r="H48" s="42"/>
      <c r="I48" s="42"/>
      <c r="J48" s="42"/>
      <c r="K48" s="42"/>
      <c r="L48" s="42"/>
      <c r="M48" s="42"/>
      <c r="S48" s="42"/>
      <c r="T48" s="42"/>
    </row>
    <row r="49" spans="3:20">
      <c r="C49" s="42"/>
      <c r="D49" s="42"/>
      <c r="E49" s="42"/>
      <c r="F49" s="42"/>
      <c r="G49" s="42"/>
      <c r="H49" s="42"/>
      <c r="I49" s="42"/>
      <c r="J49" s="42"/>
      <c r="K49" s="42"/>
      <c r="L49" s="42"/>
      <c r="M49" s="42"/>
      <c r="S49" s="42"/>
      <c r="T49" s="42"/>
    </row>
    <row r="50" spans="3:20">
      <c r="C50" s="42"/>
      <c r="D50" s="42"/>
      <c r="E50" s="42"/>
      <c r="F50" s="42"/>
      <c r="G50" s="42"/>
      <c r="H50" s="42"/>
      <c r="I50" s="42"/>
      <c r="J50" s="42"/>
      <c r="K50" s="42"/>
      <c r="L50" s="42"/>
      <c r="M50" s="42"/>
      <c r="S50" s="42"/>
      <c r="T50" s="42"/>
    </row>
    <row r="51" spans="3:20">
      <c r="C51" s="42"/>
      <c r="D51" s="42"/>
      <c r="E51" s="42"/>
      <c r="F51" s="42"/>
      <c r="G51" s="42"/>
      <c r="H51" s="42"/>
      <c r="I51" s="42"/>
      <c r="J51" s="42"/>
      <c r="K51" s="42"/>
      <c r="L51" s="42"/>
      <c r="M51" s="42"/>
      <c r="S51" s="42"/>
      <c r="T51" s="42"/>
    </row>
    <row r="52" spans="3:20">
      <c r="C52" s="42"/>
      <c r="D52" s="42"/>
      <c r="E52" s="42"/>
      <c r="F52" s="42"/>
      <c r="G52" s="42"/>
      <c r="H52" s="42"/>
      <c r="I52" s="42"/>
      <c r="J52" s="42"/>
      <c r="K52" s="42"/>
      <c r="L52" s="42"/>
      <c r="M52" s="42"/>
      <c r="S52" s="42"/>
      <c r="T52" s="42"/>
    </row>
    <row r="53" spans="3:20">
      <c r="C53" s="42"/>
      <c r="D53" s="42"/>
      <c r="E53" s="42"/>
      <c r="F53" s="42"/>
      <c r="G53" s="42"/>
      <c r="H53" s="42"/>
      <c r="I53" s="42"/>
      <c r="J53" s="42"/>
      <c r="K53" s="42"/>
      <c r="L53" s="42"/>
      <c r="M53" s="42"/>
      <c r="S53" s="42"/>
      <c r="T53" s="42"/>
    </row>
    <row r="54" spans="3:20">
      <c r="C54" s="42"/>
      <c r="D54" s="42"/>
      <c r="E54" s="42"/>
      <c r="F54" s="42"/>
      <c r="G54" s="42"/>
      <c r="H54" s="42"/>
      <c r="I54" s="42"/>
      <c r="J54" s="42"/>
      <c r="K54" s="42"/>
      <c r="L54" s="42"/>
      <c r="M54" s="42"/>
      <c r="S54" s="42"/>
      <c r="T54" s="42"/>
    </row>
    <row r="55" spans="3:20">
      <c r="C55" s="42"/>
      <c r="D55" s="42"/>
      <c r="E55" s="42"/>
      <c r="F55" s="42"/>
      <c r="G55" s="42"/>
      <c r="H55" s="42"/>
      <c r="I55" s="42"/>
      <c r="J55" s="42"/>
      <c r="K55" s="42"/>
      <c r="L55" s="42"/>
      <c r="M55" s="42"/>
      <c r="S55" s="42"/>
      <c r="T55" s="42"/>
    </row>
    <row r="56" spans="3:20">
      <c r="C56" s="42"/>
      <c r="D56" s="42"/>
      <c r="E56" s="42"/>
      <c r="F56" s="42"/>
      <c r="G56" s="42"/>
      <c r="H56" s="42"/>
      <c r="I56" s="42"/>
      <c r="J56" s="42"/>
      <c r="K56" s="42"/>
      <c r="L56" s="42"/>
      <c r="M56" s="42"/>
      <c r="S56" s="42"/>
      <c r="T56" s="42"/>
    </row>
    <row r="57" spans="3:20">
      <c r="C57" s="42"/>
      <c r="D57" s="42"/>
      <c r="E57" s="42"/>
      <c r="F57" s="42"/>
      <c r="G57" s="42"/>
      <c r="H57" s="42"/>
      <c r="I57" s="42"/>
      <c r="J57" s="42"/>
      <c r="K57" s="42"/>
      <c r="L57" s="42"/>
      <c r="M57" s="42"/>
      <c r="S57" s="42"/>
      <c r="T57" s="42"/>
    </row>
    <row r="58" spans="3:20">
      <c r="C58" s="42"/>
      <c r="D58" s="42"/>
      <c r="E58" s="42"/>
      <c r="F58" s="42"/>
      <c r="G58" s="42"/>
      <c r="H58" s="42"/>
      <c r="I58" s="42"/>
      <c r="J58" s="42"/>
      <c r="K58" s="42"/>
      <c r="L58" s="42"/>
      <c r="M58" s="42"/>
      <c r="S58" s="42"/>
      <c r="T58" s="42"/>
    </row>
    <row r="59" spans="3:20">
      <c r="C59" s="42"/>
      <c r="D59" s="42"/>
      <c r="E59" s="42"/>
      <c r="F59" s="42"/>
      <c r="G59" s="42"/>
      <c r="H59" s="42"/>
      <c r="I59" s="42"/>
      <c r="J59" s="42"/>
      <c r="K59" s="42"/>
      <c r="L59" s="42"/>
      <c r="M59" s="42"/>
      <c r="S59" s="42"/>
      <c r="T59" s="42"/>
    </row>
    <row r="60" spans="3:20">
      <c r="C60" s="42"/>
      <c r="D60" s="42"/>
      <c r="E60" s="42"/>
      <c r="F60" s="42"/>
      <c r="G60" s="42"/>
      <c r="H60" s="42"/>
      <c r="I60" s="42"/>
      <c r="J60" s="42"/>
      <c r="K60" s="42"/>
      <c r="L60" s="42"/>
      <c r="M60" s="42"/>
      <c r="S60" s="42"/>
      <c r="T60" s="42"/>
    </row>
    <row r="61" spans="3:20">
      <c r="C61" s="42"/>
      <c r="D61" s="42"/>
      <c r="E61" s="42"/>
      <c r="F61" s="42"/>
      <c r="G61" s="42"/>
      <c r="H61" s="42"/>
      <c r="I61" s="42"/>
      <c r="J61" s="42"/>
      <c r="K61" s="42"/>
      <c r="L61" s="42"/>
      <c r="M61" s="42"/>
      <c r="S61" s="42"/>
      <c r="T61" s="42"/>
    </row>
    <row r="62" spans="3:20">
      <c r="C62" s="43"/>
      <c r="D62" s="42"/>
      <c r="E62" s="42"/>
      <c r="F62" s="43"/>
      <c r="G62" s="42"/>
      <c r="H62" s="42"/>
      <c r="I62" s="43"/>
      <c r="J62" s="42"/>
      <c r="K62" s="42"/>
      <c r="L62" s="42"/>
      <c r="M62" s="42"/>
      <c r="S62" s="43"/>
      <c r="T62" s="43"/>
    </row>
    <row r="63" spans="3:20">
      <c r="C63" s="43"/>
      <c r="D63" s="42"/>
      <c r="E63" s="42"/>
      <c r="F63" s="43"/>
      <c r="G63" s="42"/>
      <c r="H63" s="42"/>
      <c r="I63" s="43"/>
      <c r="J63" s="42"/>
      <c r="K63" s="42"/>
      <c r="L63" s="42"/>
      <c r="M63" s="42"/>
      <c r="S63" s="43"/>
      <c r="T63" s="43"/>
    </row>
    <row r="64" spans="3:20">
      <c r="C64" s="43"/>
      <c r="D64" s="42"/>
      <c r="E64" s="42"/>
      <c r="F64" s="43"/>
      <c r="G64" s="42"/>
      <c r="H64" s="42"/>
      <c r="I64" s="43"/>
      <c r="J64" s="42"/>
      <c r="K64" s="42"/>
      <c r="L64" s="42"/>
      <c r="M64" s="42"/>
      <c r="S64" s="43"/>
      <c r="T64" s="43"/>
    </row>
    <row r="65" spans="3:20">
      <c r="C65" s="43"/>
      <c r="D65" s="42"/>
      <c r="E65" s="42"/>
      <c r="F65" s="43"/>
      <c r="G65" s="42"/>
      <c r="H65" s="42"/>
      <c r="I65" s="43"/>
      <c r="J65" s="42"/>
      <c r="K65" s="42"/>
      <c r="L65" s="42"/>
      <c r="M65" s="42"/>
      <c r="S65" s="43"/>
      <c r="T65" s="43"/>
    </row>
    <row r="66" spans="3:20">
      <c r="C66" s="43"/>
      <c r="D66" s="42"/>
      <c r="E66" s="42"/>
      <c r="F66" s="43"/>
      <c r="G66" s="42"/>
      <c r="H66" s="42"/>
      <c r="I66" s="43"/>
      <c r="J66" s="42"/>
      <c r="K66" s="42"/>
      <c r="L66" s="42"/>
      <c r="M66" s="42"/>
      <c r="S66" s="43"/>
      <c r="T66" s="43"/>
    </row>
    <row r="67" spans="3:20">
      <c r="C67" s="43"/>
      <c r="D67" s="42"/>
      <c r="E67" s="42"/>
      <c r="F67" s="43"/>
      <c r="G67" s="42"/>
      <c r="H67" s="42"/>
      <c r="I67" s="43"/>
      <c r="J67" s="42"/>
      <c r="K67" s="42"/>
      <c r="L67" s="42"/>
      <c r="M67" s="42"/>
      <c r="S67" s="43"/>
      <c r="T67" s="43"/>
    </row>
    <row r="68" spans="3:20">
      <c r="C68" s="43"/>
      <c r="D68" s="42"/>
      <c r="E68" s="42"/>
      <c r="F68" s="43"/>
      <c r="G68" s="42"/>
      <c r="H68" s="42"/>
      <c r="I68" s="43"/>
      <c r="J68" s="42"/>
      <c r="K68" s="42"/>
      <c r="L68" s="42"/>
      <c r="M68" s="42"/>
      <c r="S68" s="43"/>
      <c r="T68" s="43"/>
    </row>
    <row r="69" spans="3:20">
      <c r="C69" s="43"/>
      <c r="D69" s="42"/>
      <c r="E69" s="42"/>
      <c r="F69" s="43"/>
      <c r="G69" s="42"/>
      <c r="H69" s="42"/>
      <c r="I69" s="43"/>
      <c r="J69" s="42"/>
      <c r="K69" s="42"/>
      <c r="L69" s="42"/>
      <c r="M69" s="42"/>
      <c r="S69" s="43"/>
      <c r="T69" s="43"/>
    </row>
    <row r="70" spans="3:20">
      <c r="C70" s="43"/>
      <c r="D70" s="42"/>
      <c r="E70" s="42"/>
      <c r="F70" s="43"/>
      <c r="G70" s="42"/>
      <c r="H70" s="42"/>
      <c r="I70" s="43"/>
      <c r="J70" s="42"/>
      <c r="K70" s="42"/>
      <c r="L70" s="42"/>
      <c r="M70" s="42"/>
      <c r="S70" s="43"/>
      <c r="T70" s="43"/>
    </row>
    <row r="71" spans="3:20">
      <c r="C71" s="43"/>
      <c r="D71" s="42"/>
      <c r="E71" s="42"/>
      <c r="F71" s="43"/>
      <c r="G71" s="42"/>
      <c r="H71" s="42"/>
      <c r="I71" s="43"/>
      <c r="J71" s="42"/>
      <c r="K71" s="42"/>
      <c r="L71" s="42"/>
      <c r="M71" s="42"/>
      <c r="S71" s="43"/>
      <c r="T71" s="43"/>
    </row>
    <row r="72" spans="3:20">
      <c r="C72" s="43"/>
      <c r="D72" s="42"/>
      <c r="E72" s="42"/>
      <c r="F72" s="43"/>
      <c r="G72" s="42"/>
      <c r="H72" s="42"/>
      <c r="I72" s="43"/>
      <c r="J72" s="42"/>
      <c r="K72" s="42"/>
      <c r="L72" s="42"/>
      <c r="M72" s="42"/>
      <c r="S72" s="43"/>
      <c r="T72" s="43"/>
    </row>
    <row r="73" spans="3:20">
      <c r="C73" s="43"/>
      <c r="D73" s="42"/>
      <c r="E73" s="42"/>
      <c r="F73" s="43"/>
      <c r="G73" s="42"/>
      <c r="H73" s="42"/>
      <c r="I73" s="43"/>
      <c r="J73" s="42"/>
      <c r="K73" s="42"/>
      <c r="L73" s="42"/>
      <c r="M73" s="42"/>
      <c r="S73" s="43"/>
      <c r="T73" s="43"/>
    </row>
    <row r="74" spans="3:20">
      <c r="C74" s="43"/>
      <c r="D74" s="42"/>
      <c r="E74" s="42"/>
      <c r="F74" s="43"/>
      <c r="G74" s="42"/>
      <c r="H74" s="42"/>
      <c r="I74" s="43"/>
      <c r="J74" s="42"/>
      <c r="K74" s="42"/>
      <c r="L74" s="42"/>
      <c r="M74" s="42"/>
      <c r="S74" s="43"/>
      <c r="T74" s="43"/>
    </row>
    <row r="75" spans="3:20">
      <c r="C75" s="43"/>
      <c r="D75" s="42"/>
      <c r="E75" s="42"/>
      <c r="F75" s="43"/>
      <c r="G75" s="42"/>
      <c r="H75" s="42"/>
      <c r="I75" s="43"/>
      <c r="J75" s="42"/>
      <c r="K75" s="42"/>
      <c r="L75" s="42"/>
      <c r="M75" s="42"/>
      <c r="S75" s="43"/>
      <c r="T75" s="43"/>
    </row>
    <row r="76" spans="3:20">
      <c r="C76" s="43"/>
      <c r="D76" s="42"/>
      <c r="E76" s="42"/>
      <c r="F76" s="43"/>
      <c r="G76" s="42"/>
      <c r="H76" s="42"/>
      <c r="I76" s="43"/>
      <c r="J76" s="42"/>
      <c r="K76" s="42"/>
      <c r="L76" s="42"/>
      <c r="M76" s="42"/>
      <c r="S76" s="43"/>
      <c r="T76" s="43"/>
    </row>
    <row r="77" spans="3:20">
      <c r="C77" s="43"/>
      <c r="D77" s="42"/>
      <c r="E77" s="42"/>
      <c r="F77" s="43"/>
      <c r="G77" s="42"/>
      <c r="H77" s="42"/>
      <c r="I77" s="43"/>
      <c r="J77" s="42"/>
      <c r="K77" s="42"/>
      <c r="L77" s="42"/>
      <c r="M77" s="42"/>
      <c r="S77" s="43"/>
      <c r="T77" s="43"/>
    </row>
    <row r="78" spans="3:20">
      <c r="C78" s="43"/>
      <c r="D78" s="42"/>
      <c r="E78" s="42"/>
      <c r="F78" s="43"/>
      <c r="G78" s="42"/>
      <c r="H78" s="42"/>
      <c r="I78" s="43"/>
      <c r="J78" s="42"/>
      <c r="K78" s="42"/>
      <c r="L78" s="42"/>
      <c r="M78" s="42"/>
      <c r="S78" s="43"/>
      <c r="T78" s="43"/>
    </row>
    <row r="79" spans="3:20">
      <c r="C79" s="43"/>
      <c r="D79" s="42"/>
      <c r="E79" s="42"/>
      <c r="F79" s="43"/>
      <c r="G79" s="42"/>
      <c r="H79" s="42"/>
      <c r="I79" s="43"/>
      <c r="J79" s="42"/>
      <c r="K79" s="42"/>
      <c r="L79" s="42"/>
      <c r="M79" s="42"/>
      <c r="S79" s="43"/>
      <c r="T79" s="43"/>
    </row>
    <row r="80" spans="3:20">
      <c r="C80" s="43"/>
      <c r="D80" s="42"/>
      <c r="E80" s="42"/>
      <c r="F80" s="43"/>
      <c r="G80" s="42"/>
      <c r="H80" s="42"/>
      <c r="I80" s="43"/>
      <c r="J80" s="42"/>
      <c r="K80" s="42"/>
      <c r="L80" s="42"/>
      <c r="M80" s="42"/>
      <c r="S80" s="43"/>
      <c r="T80" s="43"/>
    </row>
    <row r="81" spans="3:20">
      <c r="C81" s="43"/>
      <c r="D81" s="42"/>
      <c r="E81" s="42"/>
      <c r="F81" s="43"/>
      <c r="G81" s="42"/>
      <c r="H81" s="42"/>
      <c r="I81" s="43"/>
      <c r="J81" s="42"/>
      <c r="K81" s="42"/>
      <c r="L81" s="42"/>
      <c r="M81" s="42"/>
      <c r="S81" s="43"/>
      <c r="T81" s="43"/>
    </row>
    <row r="82" spans="3:20">
      <c r="C82" s="43"/>
      <c r="D82" s="42"/>
      <c r="E82" s="42"/>
      <c r="F82" s="43"/>
      <c r="G82" s="42"/>
      <c r="H82" s="42"/>
      <c r="I82" s="43"/>
      <c r="J82" s="42"/>
      <c r="K82" s="42"/>
      <c r="L82" s="42"/>
      <c r="M82" s="42"/>
      <c r="S82" s="43"/>
      <c r="T82" s="43"/>
    </row>
    <row r="83" spans="3:20">
      <c r="C83" s="43"/>
      <c r="D83" s="42"/>
      <c r="E83" s="42"/>
      <c r="F83" s="43"/>
      <c r="G83" s="42"/>
      <c r="H83" s="42"/>
      <c r="I83" s="43"/>
      <c r="J83" s="42"/>
      <c r="K83" s="42"/>
      <c r="L83" s="42"/>
      <c r="M83" s="42"/>
      <c r="S83" s="43"/>
      <c r="T83" s="43"/>
    </row>
    <row r="84" spans="3:20">
      <c r="C84" s="43"/>
      <c r="D84" s="42"/>
      <c r="E84" s="42"/>
      <c r="F84" s="43"/>
      <c r="G84" s="42"/>
      <c r="H84" s="42"/>
      <c r="I84" s="43"/>
      <c r="J84" s="42"/>
      <c r="K84" s="42"/>
      <c r="L84" s="42"/>
      <c r="M84" s="42"/>
      <c r="S84" s="43"/>
      <c r="T84" s="43"/>
    </row>
    <row r="85" spans="3:20">
      <c r="C85" s="43"/>
      <c r="D85" s="42"/>
      <c r="E85" s="42"/>
      <c r="F85" s="43"/>
      <c r="G85" s="42"/>
      <c r="H85" s="42"/>
      <c r="I85" s="43"/>
      <c r="J85" s="42"/>
      <c r="K85" s="42"/>
      <c r="L85" s="42"/>
      <c r="M85" s="42"/>
      <c r="S85" s="43"/>
      <c r="T85" s="43"/>
    </row>
    <row r="86" spans="3:20">
      <c r="C86" s="43"/>
      <c r="D86" s="42"/>
      <c r="E86" s="42"/>
      <c r="F86" s="43"/>
      <c r="G86" s="42"/>
      <c r="H86" s="42"/>
      <c r="I86" s="43"/>
      <c r="J86" s="42"/>
      <c r="K86" s="42"/>
      <c r="L86" s="42"/>
      <c r="M86" s="42"/>
      <c r="S86" s="43"/>
      <c r="T86" s="43"/>
    </row>
    <row r="87" spans="3:20">
      <c r="C87" s="43"/>
      <c r="D87" s="42"/>
      <c r="E87" s="42"/>
      <c r="F87" s="43"/>
      <c r="G87" s="42"/>
      <c r="H87" s="42"/>
      <c r="I87" s="43"/>
      <c r="J87" s="42"/>
      <c r="K87" s="42"/>
      <c r="L87" s="42"/>
      <c r="M87" s="42"/>
      <c r="S87" s="43"/>
      <c r="T87" s="43"/>
    </row>
    <row r="88" spans="3:20">
      <c r="C88" s="43"/>
      <c r="D88" s="42"/>
      <c r="E88" s="42"/>
      <c r="F88" s="43"/>
      <c r="G88" s="42"/>
      <c r="H88" s="42"/>
      <c r="I88" s="43"/>
      <c r="J88" s="42"/>
      <c r="K88" s="42"/>
      <c r="L88" s="42"/>
      <c r="M88" s="42"/>
      <c r="S88" s="43"/>
      <c r="T88" s="43"/>
    </row>
    <row r="89" spans="3:20">
      <c r="C89" s="43"/>
      <c r="D89" s="42"/>
      <c r="E89" s="42"/>
      <c r="F89" s="43"/>
      <c r="G89" s="42"/>
      <c r="H89" s="42"/>
      <c r="I89" s="43"/>
      <c r="J89" s="42"/>
      <c r="K89" s="42"/>
      <c r="L89" s="42"/>
      <c r="M89" s="42"/>
      <c r="S89" s="43"/>
      <c r="T89" s="43"/>
    </row>
    <row r="90" spans="3:20">
      <c r="C90" s="43"/>
      <c r="D90" s="42"/>
      <c r="E90" s="42"/>
      <c r="F90" s="43"/>
      <c r="G90" s="42"/>
      <c r="H90" s="42"/>
      <c r="I90" s="43"/>
      <c r="J90" s="42"/>
      <c r="K90" s="42"/>
      <c r="L90" s="42"/>
      <c r="M90" s="42"/>
      <c r="S90" s="43"/>
      <c r="T90" s="43"/>
    </row>
    <row r="91" spans="3:20">
      <c r="C91" s="43"/>
      <c r="D91" s="42"/>
      <c r="E91" s="42"/>
      <c r="F91" s="43"/>
      <c r="G91" s="42"/>
      <c r="H91" s="42"/>
      <c r="I91" s="43"/>
      <c r="J91" s="42"/>
      <c r="K91" s="42"/>
      <c r="L91" s="42"/>
      <c r="M91" s="42"/>
      <c r="S91" s="43"/>
      <c r="T91" s="43"/>
    </row>
    <row r="92" spans="3:20">
      <c r="C92" s="43"/>
      <c r="D92" s="42"/>
      <c r="E92" s="42"/>
      <c r="F92" s="43"/>
      <c r="G92" s="42"/>
      <c r="H92" s="42"/>
      <c r="I92" s="43"/>
      <c r="J92" s="42"/>
      <c r="K92" s="42"/>
      <c r="L92" s="42"/>
      <c r="M92" s="42"/>
      <c r="S92" s="43"/>
      <c r="T92" s="43"/>
    </row>
    <row r="93" spans="3:20">
      <c r="C93" s="43"/>
      <c r="D93" s="42"/>
      <c r="E93" s="42"/>
      <c r="F93" s="43"/>
      <c r="G93" s="42"/>
      <c r="H93" s="42"/>
      <c r="I93" s="43"/>
      <c r="J93" s="42"/>
      <c r="K93" s="42"/>
      <c r="L93" s="42"/>
      <c r="M93" s="42"/>
      <c r="S93" s="43"/>
      <c r="T93" s="43"/>
    </row>
    <row r="94" spans="3:20">
      <c r="C94" s="43"/>
      <c r="D94" s="42"/>
      <c r="E94" s="42"/>
      <c r="F94" s="43"/>
      <c r="G94" s="42"/>
      <c r="H94" s="42"/>
      <c r="I94" s="43"/>
      <c r="J94" s="42"/>
      <c r="K94" s="42"/>
      <c r="L94" s="42"/>
      <c r="M94" s="42"/>
      <c r="S94" s="43"/>
      <c r="T94" s="43"/>
    </row>
    <row r="95" spans="3:20">
      <c r="C95" s="43"/>
      <c r="D95" s="42"/>
      <c r="E95" s="42"/>
      <c r="F95" s="43"/>
      <c r="G95" s="42"/>
      <c r="H95" s="42"/>
      <c r="I95" s="43"/>
      <c r="J95" s="42"/>
      <c r="K95" s="42"/>
      <c r="L95" s="42"/>
      <c r="M95" s="42"/>
      <c r="S95" s="43"/>
      <c r="T95" s="43"/>
    </row>
    <row r="96" spans="3:20">
      <c r="C96" s="43"/>
      <c r="D96" s="42"/>
      <c r="E96" s="42"/>
      <c r="F96" s="43"/>
      <c r="G96" s="42"/>
      <c r="H96" s="42"/>
      <c r="I96" s="43"/>
      <c r="J96" s="42"/>
      <c r="K96" s="42"/>
      <c r="L96" s="42"/>
      <c r="M96" s="42"/>
      <c r="S96" s="43"/>
      <c r="T96" s="43"/>
    </row>
    <row r="97" spans="3:20">
      <c r="C97" s="43"/>
      <c r="D97" s="42"/>
      <c r="E97" s="42"/>
      <c r="F97" s="43"/>
      <c r="G97" s="42"/>
      <c r="H97" s="42"/>
      <c r="I97" s="43"/>
      <c r="J97" s="42"/>
      <c r="K97" s="42"/>
      <c r="L97" s="42"/>
      <c r="M97" s="42"/>
      <c r="S97" s="43"/>
      <c r="T97" s="43"/>
    </row>
    <row r="98" spans="3:20">
      <c r="C98" s="43"/>
      <c r="D98" s="42"/>
      <c r="E98" s="42"/>
      <c r="F98" s="43"/>
      <c r="G98" s="42"/>
      <c r="H98" s="42"/>
      <c r="I98" s="43"/>
      <c r="J98" s="42"/>
      <c r="K98" s="42"/>
      <c r="L98" s="42"/>
      <c r="M98" s="42"/>
      <c r="S98" s="43"/>
      <c r="T98" s="43"/>
    </row>
    <row r="99" spans="3:20">
      <c r="C99" s="43"/>
      <c r="D99" s="42"/>
      <c r="E99" s="42"/>
      <c r="F99" s="43"/>
      <c r="G99" s="42"/>
      <c r="H99" s="42"/>
      <c r="I99" s="43"/>
      <c r="J99" s="42"/>
      <c r="K99" s="42"/>
      <c r="L99" s="42"/>
      <c r="M99" s="42"/>
      <c r="S99" s="43"/>
      <c r="T99" s="43"/>
    </row>
    <row r="100" spans="3:20">
      <c r="C100" s="43"/>
      <c r="D100" s="42"/>
      <c r="E100" s="42"/>
      <c r="F100" s="43"/>
      <c r="G100" s="42"/>
      <c r="H100" s="42"/>
      <c r="I100" s="43"/>
      <c r="J100" s="42"/>
      <c r="K100" s="42"/>
      <c r="L100" s="42"/>
      <c r="M100" s="42"/>
      <c r="S100" s="43"/>
      <c r="T100" s="43"/>
    </row>
    <row r="101" spans="3:20">
      <c r="C101" s="43"/>
      <c r="D101" s="42"/>
      <c r="E101" s="42"/>
      <c r="F101" s="43"/>
      <c r="G101" s="42"/>
      <c r="H101" s="42"/>
      <c r="I101" s="43"/>
      <c r="J101" s="42"/>
      <c r="K101" s="42"/>
      <c r="L101" s="42"/>
      <c r="M101" s="42"/>
      <c r="S101" s="43"/>
      <c r="T101" s="43"/>
    </row>
    <row r="102" spans="3:20">
      <c r="C102" s="43"/>
      <c r="D102" s="42"/>
      <c r="E102" s="42"/>
      <c r="F102" s="43"/>
      <c r="G102" s="42"/>
      <c r="H102" s="42"/>
      <c r="I102" s="43"/>
      <c r="J102" s="42"/>
      <c r="K102" s="42"/>
      <c r="L102" s="42"/>
      <c r="M102" s="42"/>
      <c r="S102" s="43"/>
      <c r="T102" s="43"/>
    </row>
    <row r="103" spans="3:20">
      <c r="C103" s="43"/>
      <c r="D103" s="42"/>
      <c r="E103" s="42"/>
      <c r="F103" s="43"/>
      <c r="G103" s="42"/>
      <c r="H103" s="42"/>
      <c r="I103" s="43"/>
      <c r="J103" s="42"/>
      <c r="K103" s="42"/>
      <c r="L103" s="42"/>
      <c r="M103" s="42"/>
      <c r="S103" s="43"/>
      <c r="T103" s="43"/>
    </row>
    <row r="104" spans="3:20">
      <c r="C104" s="43"/>
      <c r="D104" s="42"/>
      <c r="E104" s="42"/>
      <c r="F104" s="43"/>
      <c r="G104" s="42"/>
      <c r="H104" s="42"/>
      <c r="I104" s="43"/>
      <c r="J104" s="42"/>
      <c r="K104" s="42"/>
      <c r="L104" s="42"/>
      <c r="M104" s="42"/>
      <c r="S104" s="43"/>
      <c r="T104" s="43"/>
    </row>
    <row r="105" spans="3:20">
      <c r="C105" s="43"/>
      <c r="D105" s="42"/>
      <c r="E105" s="42"/>
      <c r="F105" s="43"/>
      <c r="G105" s="42"/>
      <c r="H105" s="42"/>
      <c r="I105" s="43"/>
      <c r="J105" s="42"/>
      <c r="K105" s="42"/>
      <c r="L105" s="42"/>
      <c r="M105" s="42"/>
      <c r="S105" s="43"/>
      <c r="T105" s="43"/>
    </row>
    <row r="106" spans="3:20">
      <c r="C106" s="43"/>
      <c r="D106" s="42"/>
      <c r="E106" s="42"/>
      <c r="F106" s="43"/>
      <c r="G106" s="42"/>
      <c r="H106" s="42"/>
      <c r="I106" s="43"/>
      <c r="J106" s="42"/>
      <c r="K106" s="42"/>
      <c r="L106" s="42"/>
      <c r="M106" s="42"/>
      <c r="S106" s="43"/>
      <c r="T106" s="43"/>
    </row>
    <row r="107" spans="3:20">
      <c r="C107" s="43"/>
      <c r="D107" s="42"/>
      <c r="E107" s="42"/>
      <c r="F107" s="43"/>
      <c r="G107" s="42"/>
      <c r="H107" s="42"/>
      <c r="I107" s="43"/>
      <c r="J107" s="42"/>
      <c r="K107" s="42"/>
      <c r="L107" s="42"/>
      <c r="M107" s="42"/>
      <c r="S107" s="43"/>
      <c r="T107" s="43"/>
    </row>
    <row r="108" spans="3:20">
      <c r="C108" s="43"/>
      <c r="D108" s="42"/>
      <c r="E108" s="42"/>
      <c r="F108" s="43"/>
      <c r="G108" s="42"/>
      <c r="H108" s="42"/>
      <c r="I108" s="43"/>
      <c r="J108" s="42"/>
      <c r="K108" s="42"/>
      <c r="L108" s="42"/>
      <c r="M108" s="42"/>
      <c r="S108" s="43"/>
      <c r="T108" s="43"/>
    </row>
    <row r="109" spans="3:20">
      <c r="C109" s="43"/>
      <c r="D109" s="42"/>
      <c r="E109" s="42"/>
      <c r="F109" s="43"/>
      <c r="G109" s="42"/>
      <c r="H109" s="42"/>
      <c r="I109" s="43"/>
      <c r="J109" s="42"/>
      <c r="K109" s="42"/>
      <c r="L109" s="42"/>
      <c r="M109" s="42"/>
      <c r="S109" s="43"/>
      <c r="T109" s="43"/>
    </row>
    <row r="110" spans="3:20">
      <c r="C110" s="43"/>
      <c r="D110" s="42"/>
      <c r="E110" s="42"/>
      <c r="F110" s="43"/>
      <c r="G110" s="42"/>
      <c r="H110" s="42"/>
      <c r="I110" s="43"/>
      <c r="J110" s="42"/>
      <c r="K110" s="42"/>
      <c r="L110" s="42"/>
      <c r="M110" s="42"/>
      <c r="S110" s="43"/>
      <c r="T110" s="43"/>
    </row>
    <row r="111" spans="3:20">
      <c r="C111" s="43"/>
      <c r="D111" s="42"/>
      <c r="E111" s="42"/>
      <c r="F111" s="43"/>
      <c r="G111" s="42"/>
      <c r="H111" s="42"/>
      <c r="I111" s="43"/>
      <c r="J111" s="42"/>
      <c r="K111" s="42"/>
      <c r="L111" s="42"/>
      <c r="M111" s="42"/>
      <c r="S111" s="43"/>
      <c r="T111" s="43"/>
    </row>
    <row r="112" spans="3:20">
      <c r="C112" s="43"/>
      <c r="D112" s="42"/>
      <c r="E112" s="42"/>
      <c r="F112" s="43"/>
      <c r="G112" s="42"/>
      <c r="H112" s="42"/>
      <c r="I112" s="43"/>
      <c r="J112" s="42"/>
      <c r="K112" s="42"/>
      <c r="L112" s="42"/>
      <c r="M112" s="42"/>
      <c r="S112" s="43"/>
      <c r="T112" s="43"/>
    </row>
    <row r="113" spans="3:20">
      <c r="C113" s="43"/>
      <c r="D113" s="42"/>
      <c r="E113" s="42"/>
      <c r="F113" s="43"/>
      <c r="G113" s="42"/>
      <c r="H113" s="42"/>
      <c r="I113" s="43"/>
      <c r="J113" s="42"/>
      <c r="K113" s="42"/>
      <c r="L113" s="42"/>
      <c r="M113" s="42"/>
      <c r="S113" s="43"/>
      <c r="T113" s="43"/>
    </row>
    <row r="114" spans="3:20">
      <c r="C114" s="43"/>
      <c r="D114" s="42"/>
      <c r="E114" s="42"/>
      <c r="F114" s="43"/>
      <c r="G114" s="42"/>
      <c r="H114" s="42"/>
      <c r="I114" s="43"/>
      <c r="J114" s="42"/>
      <c r="K114" s="42"/>
      <c r="L114" s="42"/>
      <c r="M114" s="42"/>
      <c r="S114" s="43"/>
      <c r="T114" s="43"/>
    </row>
    <row r="115" spans="3:20">
      <c r="C115" s="43"/>
      <c r="D115" s="42"/>
      <c r="E115" s="42"/>
      <c r="F115" s="43"/>
      <c r="G115" s="42"/>
      <c r="H115" s="42"/>
      <c r="I115" s="43"/>
      <c r="J115" s="42"/>
      <c r="K115" s="42"/>
      <c r="L115" s="42"/>
      <c r="M115" s="42"/>
      <c r="S115" s="43"/>
      <c r="T115" s="43"/>
    </row>
    <row r="116" spans="3:20">
      <c r="C116" s="43"/>
      <c r="D116" s="42"/>
      <c r="E116" s="42"/>
      <c r="F116" s="43"/>
      <c r="G116" s="42"/>
      <c r="H116" s="42"/>
      <c r="I116" s="43"/>
      <c r="J116" s="42"/>
      <c r="K116" s="42"/>
      <c r="L116" s="42"/>
      <c r="M116" s="42"/>
      <c r="S116" s="43"/>
      <c r="T116" s="43"/>
    </row>
    <row r="117" spans="3:20">
      <c r="C117" s="43"/>
      <c r="D117" s="42"/>
      <c r="E117" s="42"/>
      <c r="F117" s="43"/>
      <c r="G117" s="42"/>
      <c r="H117" s="42"/>
      <c r="I117" s="43"/>
      <c r="J117" s="42"/>
      <c r="K117" s="42"/>
      <c r="L117" s="42"/>
      <c r="M117" s="42"/>
      <c r="S117" s="43"/>
      <c r="T117" s="43"/>
    </row>
    <row r="118" spans="3:20">
      <c r="C118" s="43"/>
      <c r="D118" s="42"/>
      <c r="E118" s="42"/>
      <c r="F118" s="43"/>
      <c r="G118" s="42"/>
      <c r="H118" s="42"/>
      <c r="I118" s="43"/>
      <c r="J118" s="42"/>
      <c r="K118" s="42"/>
      <c r="L118" s="42"/>
      <c r="M118" s="42"/>
      <c r="S118" s="43"/>
      <c r="T118" s="43"/>
    </row>
    <row r="119" spans="3:20">
      <c r="C119" s="43"/>
      <c r="D119" s="42"/>
      <c r="E119" s="42"/>
      <c r="F119" s="43"/>
      <c r="G119" s="42"/>
      <c r="H119" s="42"/>
      <c r="I119" s="43"/>
      <c r="J119" s="42"/>
      <c r="K119" s="42"/>
      <c r="L119" s="42"/>
      <c r="M119" s="42"/>
      <c r="S119" s="43"/>
      <c r="T119" s="43"/>
    </row>
    <row r="120" spans="3:20">
      <c r="C120" s="43"/>
      <c r="D120" s="42"/>
      <c r="E120" s="42"/>
      <c r="F120" s="43"/>
      <c r="G120" s="42"/>
      <c r="H120" s="42"/>
      <c r="I120" s="43"/>
      <c r="J120" s="42"/>
      <c r="K120" s="42"/>
      <c r="L120" s="42"/>
      <c r="M120" s="42"/>
      <c r="S120" s="43"/>
      <c r="T120" s="43"/>
    </row>
    <row r="121" spans="3:20">
      <c r="C121" s="43"/>
      <c r="D121" s="42"/>
      <c r="E121" s="42"/>
      <c r="F121" s="43"/>
      <c r="G121" s="42"/>
      <c r="H121" s="42"/>
      <c r="I121" s="43"/>
      <c r="J121" s="42"/>
      <c r="K121" s="42"/>
      <c r="L121" s="42"/>
      <c r="M121" s="42"/>
      <c r="S121" s="43"/>
      <c r="T121" s="43"/>
    </row>
    <row r="122" spans="3:20">
      <c r="C122" s="43"/>
      <c r="D122" s="42"/>
      <c r="E122" s="42"/>
      <c r="F122" s="43"/>
      <c r="G122" s="42"/>
      <c r="H122" s="42"/>
      <c r="I122" s="43"/>
      <c r="J122" s="42"/>
      <c r="K122" s="42"/>
      <c r="L122" s="42"/>
      <c r="M122" s="42"/>
      <c r="S122" s="43"/>
      <c r="T122" s="43"/>
    </row>
    <row r="123" spans="3:20">
      <c r="C123" s="43"/>
      <c r="D123" s="42"/>
      <c r="E123" s="42"/>
      <c r="F123" s="43"/>
      <c r="G123" s="42"/>
      <c r="H123" s="42"/>
      <c r="I123" s="43"/>
      <c r="J123" s="42"/>
      <c r="K123" s="42"/>
      <c r="L123" s="42"/>
      <c r="M123" s="42"/>
      <c r="S123" s="43"/>
      <c r="T123" s="43"/>
    </row>
    <row r="124" spans="3:20">
      <c r="C124" s="43"/>
      <c r="D124" s="42"/>
      <c r="E124" s="42"/>
      <c r="F124" s="43"/>
      <c r="G124" s="42"/>
      <c r="H124" s="42"/>
      <c r="I124" s="43"/>
      <c r="J124" s="42"/>
      <c r="K124" s="42"/>
      <c r="L124" s="42"/>
      <c r="M124" s="42"/>
      <c r="S124" s="43"/>
      <c r="T124" s="43"/>
    </row>
    <row r="125" spans="3:20">
      <c r="C125" s="43"/>
      <c r="D125" s="42"/>
      <c r="E125" s="42"/>
      <c r="F125" s="43"/>
      <c r="G125" s="42"/>
      <c r="H125" s="42"/>
      <c r="I125" s="43"/>
      <c r="J125" s="42"/>
      <c r="K125" s="42"/>
      <c r="L125" s="42"/>
      <c r="M125" s="42"/>
      <c r="S125" s="43"/>
      <c r="T125" s="43"/>
    </row>
    <row r="126" spans="3:20">
      <c r="C126" s="43"/>
      <c r="D126" s="42"/>
      <c r="E126" s="42"/>
      <c r="F126" s="43"/>
      <c r="G126" s="42"/>
      <c r="H126" s="42"/>
      <c r="I126" s="43"/>
      <c r="J126" s="42"/>
      <c r="K126" s="42"/>
      <c r="L126" s="42"/>
      <c r="M126" s="42"/>
      <c r="S126" s="43"/>
      <c r="T126" s="43"/>
    </row>
    <row r="127" spans="3:20">
      <c r="C127" s="43"/>
      <c r="D127" s="42"/>
      <c r="E127" s="42"/>
      <c r="F127" s="43"/>
      <c r="G127" s="42"/>
      <c r="H127" s="42"/>
      <c r="I127" s="43"/>
      <c r="J127" s="42"/>
      <c r="K127" s="42"/>
      <c r="L127" s="42"/>
      <c r="M127" s="42"/>
      <c r="S127" s="43"/>
      <c r="T127" s="43"/>
    </row>
    <row r="128" spans="3:20">
      <c r="C128" s="43"/>
      <c r="D128" s="42"/>
      <c r="E128" s="42"/>
      <c r="F128" s="43"/>
      <c r="G128" s="42"/>
      <c r="H128" s="42"/>
      <c r="I128" s="43"/>
      <c r="J128" s="42"/>
      <c r="K128" s="42"/>
      <c r="L128" s="42"/>
      <c r="M128" s="42"/>
      <c r="S128" s="43"/>
      <c r="T128" s="43"/>
    </row>
    <row r="129" spans="3:20">
      <c r="C129" s="43"/>
      <c r="D129" s="42"/>
      <c r="E129" s="42"/>
      <c r="F129" s="43"/>
      <c r="G129" s="42"/>
      <c r="H129" s="42"/>
      <c r="I129" s="43"/>
      <c r="J129" s="42"/>
      <c r="K129" s="42"/>
      <c r="L129" s="42"/>
      <c r="M129" s="42"/>
      <c r="S129" s="43"/>
      <c r="T129" s="43"/>
    </row>
    <row r="130" spans="3:20">
      <c r="C130" s="43"/>
      <c r="D130" s="42"/>
      <c r="E130" s="42"/>
      <c r="F130" s="43"/>
      <c r="G130" s="42"/>
      <c r="H130" s="42"/>
      <c r="I130" s="43"/>
      <c r="J130" s="42"/>
      <c r="K130" s="42"/>
      <c r="L130" s="42"/>
      <c r="M130" s="42"/>
      <c r="S130" s="43"/>
      <c r="T130" s="43"/>
    </row>
    <row r="131" spans="3:20">
      <c r="C131" s="43"/>
      <c r="D131" s="42"/>
      <c r="E131" s="42"/>
      <c r="F131" s="43"/>
      <c r="G131" s="42"/>
      <c r="H131" s="42"/>
      <c r="I131" s="43"/>
      <c r="J131" s="42"/>
      <c r="K131" s="42"/>
      <c r="L131" s="42"/>
      <c r="M131" s="42"/>
      <c r="S131" s="43"/>
      <c r="T131" s="43"/>
    </row>
    <row r="132" spans="3:20">
      <c r="C132" s="43"/>
      <c r="D132" s="42"/>
      <c r="E132" s="42"/>
      <c r="F132" s="43"/>
      <c r="G132" s="42"/>
      <c r="H132" s="42"/>
      <c r="I132" s="43"/>
      <c r="J132" s="42"/>
      <c r="K132" s="42"/>
      <c r="L132" s="42"/>
      <c r="M132" s="42"/>
      <c r="S132" s="43"/>
      <c r="T132" s="43"/>
    </row>
    <row r="133" spans="3:20">
      <c r="C133" s="43"/>
      <c r="D133" s="42"/>
      <c r="E133" s="42"/>
      <c r="F133" s="43"/>
      <c r="G133" s="42"/>
      <c r="H133" s="42"/>
      <c r="I133" s="43"/>
      <c r="J133" s="42"/>
      <c r="K133" s="42"/>
      <c r="L133" s="42"/>
      <c r="M133" s="42"/>
      <c r="S133" s="43"/>
      <c r="T133" s="43"/>
    </row>
    <row r="134" spans="3:20">
      <c r="C134" s="43"/>
      <c r="D134" s="42"/>
      <c r="E134" s="42"/>
      <c r="F134" s="43"/>
      <c r="G134" s="42"/>
      <c r="H134" s="42"/>
      <c r="I134" s="43"/>
      <c r="J134" s="42"/>
      <c r="K134" s="42"/>
      <c r="L134" s="42"/>
      <c r="M134" s="42"/>
      <c r="S134" s="43"/>
      <c r="T134" s="43"/>
    </row>
    <row r="135" spans="3:20">
      <c r="C135" s="43"/>
      <c r="D135" s="42"/>
      <c r="E135" s="42"/>
      <c r="F135" s="43"/>
      <c r="G135" s="42"/>
      <c r="H135" s="42"/>
      <c r="I135" s="43"/>
      <c r="J135" s="42"/>
      <c r="K135" s="42"/>
      <c r="L135" s="42"/>
      <c r="M135" s="42"/>
      <c r="S135" s="43"/>
      <c r="T135" s="43"/>
    </row>
    <row r="136" spans="3:20">
      <c r="C136" s="43"/>
      <c r="D136" s="42"/>
      <c r="E136" s="42"/>
      <c r="F136" s="43"/>
      <c r="G136" s="42"/>
      <c r="H136" s="42"/>
      <c r="I136" s="43"/>
      <c r="J136" s="42"/>
      <c r="K136" s="42"/>
      <c r="L136" s="42"/>
      <c r="M136" s="42"/>
      <c r="S136" s="43"/>
      <c r="T136" s="43"/>
    </row>
    <row r="137" spans="3:20">
      <c r="C137" s="43"/>
      <c r="D137" s="42"/>
      <c r="E137" s="42"/>
      <c r="F137" s="43"/>
      <c r="G137" s="42"/>
      <c r="H137" s="42"/>
      <c r="I137" s="43"/>
      <c r="J137" s="42"/>
      <c r="K137" s="42"/>
      <c r="L137" s="42"/>
      <c r="M137" s="42"/>
      <c r="S137" s="43"/>
      <c r="T137" s="43"/>
    </row>
    <row r="138" spans="3:20">
      <c r="C138" s="43"/>
      <c r="D138" s="42"/>
      <c r="E138" s="42"/>
      <c r="F138" s="43"/>
      <c r="G138" s="42"/>
      <c r="H138" s="42"/>
      <c r="I138" s="43"/>
      <c r="J138" s="42"/>
      <c r="K138" s="42"/>
      <c r="L138" s="42"/>
      <c r="M138" s="42"/>
      <c r="S138" s="43"/>
      <c r="T138" s="43"/>
    </row>
    <row r="139" spans="3:20">
      <c r="C139" s="43"/>
      <c r="D139" s="42"/>
      <c r="E139" s="42"/>
      <c r="F139" s="43"/>
      <c r="G139" s="42"/>
      <c r="H139" s="42"/>
      <c r="I139" s="43"/>
      <c r="J139" s="42"/>
      <c r="K139" s="42"/>
      <c r="L139" s="42"/>
      <c r="M139" s="42"/>
      <c r="S139" s="43"/>
      <c r="T139" s="43"/>
    </row>
    <row r="140" spans="3:20">
      <c r="C140" s="43"/>
      <c r="D140" s="42"/>
      <c r="E140" s="42"/>
      <c r="F140" s="43"/>
      <c r="G140" s="42"/>
      <c r="H140" s="42"/>
      <c r="I140" s="43"/>
      <c r="J140" s="42"/>
      <c r="K140" s="42"/>
      <c r="L140" s="42"/>
      <c r="M140" s="42"/>
      <c r="S140" s="43"/>
      <c r="T140" s="43"/>
    </row>
    <row r="141" spans="3:20">
      <c r="C141" s="43"/>
      <c r="D141" s="42"/>
      <c r="E141" s="42"/>
      <c r="F141" s="43"/>
      <c r="G141" s="42"/>
      <c r="H141" s="42"/>
      <c r="I141" s="43"/>
      <c r="J141" s="42"/>
      <c r="K141" s="42"/>
      <c r="L141" s="42"/>
      <c r="M141" s="42"/>
      <c r="S141" s="43"/>
      <c r="T141" s="43"/>
    </row>
    <row r="142" spans="3:20">
      <c r="C142" s="43"/>
      <c r="D142" s="42"/>
      <c r="E142" s="42"/>
      <c r="F142" s="43"/>
      <c r="G142" s="42"/>
      <c r="H142" s="42"/>
      <c r="I142" s="43"/>
      <c r="J142" s="42"/>
      <c r="K142" s="42"/>
      <c r="L142" s="42"/>
      <c r="M142" s="42"/>
      <c r="S142" s="43"/>
      <c r="T142" s="43"/>
    </row>
    <row r="143" spans="3:20">
      <c r="C143" s="43"/>
      <c r="D143" s="42"/>
      <c r="E143" s="42"/>
      <c r="F143" s="43"/>
      <c r="G143" s="42"/>
      <c r="H143" s="42"/>
      <c r="I143" s="43"/>
      <c r="J143" s="42"/>
      <c r="K143" s="42"/>
      <c r="L143" s="42"/>
      <c r="M143" s="42"/>
      <c r="S143" s="43"/>
      <c r="T143" s="43"/>
    </row>
    <row r="144" spans="3:20">
      <c r="C144" s="43"/>
      <c r="D144" s="42"/>
      <c r="E144" s="42"/>
      <c r="F144" s="43"/>
      <c r="G144" s="42"/>
      <c r="H144" s="42"/>
      <c r="I144" s="43"/>
      <c r="J144" s="42"/>
      <c r="K144" s="42"/>
      <c r="L144" s="42"/>
      <c r="M144" s="42"/>
      <c r="S144" s="43"/>
      <c r="T144" s="43"/>
    </row>
    <row r="145" spans="3:20">
      <c r="C145" s="43"/>
      <c r="D145" s="42"/>
      <c r="E145" s="42"/>
      <c r="F145" s="43"/>
      <c r="G145" s="42"/>
      <c r="H145" s="42"/>
      <c r="I145" s="43"/>
      <c r="J145" s="42"/>
      <c r="K145" s="42"/>
      <c r="L145" s="42"/>
      <c r="M145" s="42"/>
      <c r="S145" s="43"/>
      <c r="T145" s="43"/>
    </row>
    <row r="146" spans="3:20">
      <c r="C146" s="43"/>
      <c r="D146" s="42"/>
      <c r="E146" s="42"/>
      <c r="F146" s="43"/>
      <c r="G146" s="42"/>
      <c r="H146" s="42"/>
      <c r="I146" s="43"/>
      <c r="J146" s="42"/>
      <c r="K146" s="42"/>
      <c r="L146" s="42"/>
      <c r="M146" s="42"/>
      <c r="S146" s="43"/>
      <c r="T146" s="43"/>
    </row>
    <row r="147" spans="3:20">
      <c r="C147" s="43"/>
      <c r="D147" s="42"/>
      <c r="E147" s="42"/>
      <c r="F147" s="43"/>
      <c r="G147" s="42"/>
      <c r="H147" s="42"/>
      <c r="I147" s="43"/>
      <c r="J147" s="42"/>
      <c r="K147" s="42"/>
      <c r="L147" s="42"/>
      <c r="M147" s="42"/>
      <c r="S147" s="43"/>
      <c r="T147" s="43"/>
    </row>
    <row r="148" spans="3:20">
      <c r="C148" s="43"/>
      <c r="D148" s="42"/>
      <c r="E148" s="42"/>
      <c r="F148" s="43"/>
      <c r="G148" s="42"/>
      <c r="H148" s="42"/>
      <c r="I148" s="43"/>
      <c r="J148" s="42"/>
      <c r="K148" s="42"/>
      <c r="L148" s="42"/>
      <c r="M148" s="42"/>
      <c r="S148" s="43"/>
      <c r="T148" s="43"/>
    </row>
    <row r="149" spans="3:20">
      <c r="C149" s="43"/>
      <c r="D149" s="42"/>
      <c r="E149" s="42"/>
      <c r="F149" s="43"/>
      <c r="G149" s="42"/>
      <c r="H149" s="42"/>
      <c r="I149" s="43"/>
      <c r="J149" s="42"/>
      <c r="K149" s="42"/>
      <c r="L149" s="42"/>
      <c r="M149" s="42"/>
      <c r="S149" s="43"/>
      <c r="T149" s="43"/>
    </row>
    <row r="150" spans="3:20">
      <c r="C150" s="43"/>
      <c r="D150" s="42"/>
      <c r="E150" s="42"/>
      <c r="F150" s="43"/>
      <c r="G150" s="42"/>
      <c r="H150" s="42"/>
      <c r="I150" s="43"/>
      <c r="J150" s="42"/>
      <c r="K150" s="42"/>
      <c r="L150" s="42"/>
      <c r="M150" s="42"/>
      <c r="S150" s="43"/>
      <c r="T150" s="43"/>
    </row>
    <row r="151" spans="3:20">
      <c r="C151" s="43"/>
      <c r="D151" s="42"/>
      <c r="E151" s="42"/>
      <c r="F151" s="43"/>
      <c r="G151" s="42"/>
      <c r="H151" s="42"/>
      <c r="I151" s="43"/>
      <c r="J151" s="42"/>
      <c r="K151" s="42"/>
      <c r="L151" s="42"/>
      <c r="M151" s="42"/>
      <c r="S151" s="43"/>
      <c r="T151" s="43"/>
    </row>
    <row r="152" spans="3:20">
      <c r="C152" s="43"/>
      <c r="D152" s="42"/>
      <c r="E152" s="42"/>
      <c r="F152" s="43"/>
      <c r="G152" s="42"/>
      <c r="H152" s="42"/>
      <c r="I152" s="43"/>
      <c r="J152" s="42"/>
      <c r="K152" s="42"/>
      <c r="L152" s="42"/>
      <c r="M152" s="42"/>
      <c r="S152" s="43"/>
      <c r="T152" s="43"/>
    </row>
    <row r="153" spans="3:20">
      <c r="C153" s="43"/>
      <c r="D153" s="42"/>
      <c r="E153" s="42"/>
      <c r="F153" s="43"/>
      <c r="G153" s="42"/>
      <c r="H153" s="42"/>
      <c r="I153" s="43"/>
      <c r="J153" s="42"/>
      <c r="K153" s="42"/>
      <c r="L153" s="42"/>
      <c r="M153" s="42"/>
      <c r="S153" s="43"/>
      <c r="T153" s="43"/>
    </row>
    <row r="154" spans="3:20">
      <c r="C154" s="43"/>
      <c r="D154" s="42"/>
      <c r="E154" s="42"/>
      <c r="F154" s="43"/>
      <c r="G154" s="42"/>
      <c r="H154" s="42"/>
      <c r="I154" s="43"/>
      <c r="J154" s="42"/>
      <c r="K154" s="42"/>
      <c r="L154" s="42"/>
      <c r="M154" s="42"/>
      <c r="S154" s="43"/>
      <c r="T154" s="43"/>
    </row>
    <row r="155" spans="3:20">
      <c r="C155" s="43"/>
      <c r="D155" s="42"/>
      <c r="E155" s="42"/>
      <c r="F155" s="43"/>
      <c r="G155" s="42"/>
      <c r="H155" s="42"/>
      <c r="I155" s="43"/>
      <c r="J155" s="42"/>
      <c r="K155" s="42"/>
      <c r="L155" s="42"/>
      <c r="M155" s="42"/>
      <c r="S155" s="43"/>
      <c r="T155" s="43"/>
    </row>
    <row r="156" spans="3:20">
      <c r="C156" s="43"/>
      <c r="D156" s="42"/>
      <c r="E156" s="42"/>
      <c r="F156" s="43"/>
      <c r="G156" s="42"/>
      <c r="H156" s="42"/>
      <c r="I156" s="43"/>
      <c r="J156" s="42"/>
      <c r="K156" s="42"/>
      <c r="L156" s="42"/>
      <c r="M156" s="42"/>
      <c r="S156" s="43"/>
      <c r="T156" s="43"/>
    </row>
    <row r="157" spans="3:20">
      <c r="C157" s="43"/>
      <c r="D157" s="42"/>
      <c r="E157" s="42"/>
      <c r="F157" s="43"/>
      <c r="G157" s="42"/>
      <c r="H157" s="42"/>
      <c r="I157" s="43"/>
      <c r="J157" s="42"/>
      <c r="K157" s="42"/>
      <c r="L157" s="42"/>
      <c r="M157" s="42"/>
      <c r="S157" s="43"/>
      <c r="T157" s="43"/>
    </row>
    <row r="158" spans="3:20">
      <c r="C158" s="43"/>
      <c r="D158" s="42"/>
      <c r="E158" s="42"/>
      <c r="F158" s="43"/>
      <c r="G158" s="42"/>
      <c r="H158" s="42"/>
      <c r="I158" s="43"/>
      <c r="J158" s="42"/>
      <c r="K158" s="42"/>
      <c r="L158" s="42"/>
      <c r="M158" s="42"/>
      <c r="S158" s="43"/>
      <c r="T158" s="43"/>
    </row>
    <row r="159" spans="3:20">
      <c r="C159" s="43"/>
      <c r="D159" s="42"/>
      <c r="E159" s="42"/>
      <c r="F159" s="43"/>
      <c r="G159" s="42"/>
      <c r="H159" s="42"/>
      <c r="I159" s="43"/>
      <c r="J159" s="42"/>
      <c r="K159" s="42"/>
      <c r="L159" s="42"/>
      <c r="M159" s="42"/>
      <c r="S159" s="43"/>
      <c r="T159" s="43"/>
    </row>
  </sheetData>
  <hyperlinks>
    <hyperlink ref="M8" r:id="rId1" xr:uid="{00000000-0004-0000-0E00-000000000000}"/>
    <hyperlink ref="M14" r:id="rId2" xr:uid="{00000000-0004-0000-0E00-000001000000}"/>
    <hyperlink ref="K5" r:id="rId3" xr:uid="{00000000-0004-0000-0E00-000002000000}"/>
  </hyperlinks>
  <pageMargins left="0.7" right="0.7" top="0.75" bottom="0.75" header="0.3" footer="0.3"/>
  <pageSetup paperSize="9" orientation="portrait" r:id="rId4"/>
  <tableParts count="1">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8">
    <tabColor theme="9" tint="-0.499984740745262"/>
  </sheetPr>
  <dimension ref="A1:S159"/>
  <sheetViews>
    <sheetView workbookViewId="0"/>
  </sheetViews>
  <sheetFormatPr baseColWidth="10" defaultColWidth="10.54296875" defaultRowHeight="14.5"/>
  <cols>
    <col min="1" max="1" width="16.54296875" style="8" customWidth="1"/>
    <col min="2" max="2" width="5" style="1" customWidth="1"/>
    <col min="3" max="3" width="10.54296875" style="1"/>
    <col min="4" max="4" width="13.453125" style="1" customWidth="1"/>
    <col min="5" max="5" width="11.1796875" style="1" customWidth="1"/>
    <col min="6" max="6" width="10.54296875" style="1"/>
    <col min="7" max="7" width="12.81640625" style="1" customWidth="1"/>
    <col min="8" max="8" width="16.453125" style="1" customWidth="1"/>
    <col min="9" max="9" width="10.54296875" style="1"/>
    <col min="10" max="10" width="12.453125" style="1" customWidth="1"/>
    <col min="11" max="11" width="11.54296875" style="1" customWidth="1"/>
    <col min="12" max="12" width="18.81640625" style="1" customWidth="1"/>
    <col min="13" max="13" width="18.54296875" style="1" customWidth="1"/>
    <col min="14" max="14" width="14.453125" customWidth="1"/>
    <col min="15" max="15" width="14" customWidth="1"/>
    <col min="16" max="16" width="44.453125" customWidth="1"/>
    <col min="18" max="16384" width="10.54296875" style="1"/>
  </cols>
  <sheetData>
    <row r="1" spans="1:19" ht="11.15" customHeight="1">
      <c r="N1" s="1"/>
      <c r="O1" s="1"/>
      <c r="P1" s="1"/>
      <c r="Q1" s="1"/>
    </row>
    <row r="2" spans="1:19" ht="20.149999999999999" customHeight="1">
      <c r="C2" s="617" t="s">
        <v>12</v>
      </c>
      <c r="D2" s="617"/>
      <c r="E2" s="617"/>
      <c r="F2" s="617"/>
      <c r="G2" s="617"/>
      <c r="H2" s="617"/>
      <c r="I2" s="617"/>
      <c r="J2" s="617"/>
      <c r="K2" s="617"/>
      <c r="L2" s="617"/>
      <c r="M2" s="617"/>
      <c r="N2" s="617"/>
      <c r="O2" s="1"/>
      <c r="P2" s="1"/>
      <c r="Q2" s="1"/>
    </row>
    <row r="3" spans="1:19">
      <c r="N3" s="1"/>
      <c r="O3" s="1"/>
      <c r="P3" s="1"/>
      <c r="Q3" s="1"/>
    </row>
    <row r="4" spans="1:19" ht="58">
      <c r="A4" s="9"/>
      <c r="C4" s="24" t="s">
        <v>18</v>
      </c>
      <c r="D4" s="23" t="s">
        <v>1022</v>
      </c>
      <c r="E4" s="23" t="s">
        <v>20</v>
      </c>
      <c r="F4" s="23" t="s">
        <v>1205</v>
      </c>
      <c r="G4" s="22" t="s">
        <v>23</v>
      </c>
      <c r="H4" s="22" t="s">
        <v>22</v>
      </c>
      <c r="I4" s="23" t="s">
        <v>1023</v>
      </c>
      <c r="J4" s="24" t="s">
        <v>1024</v>
      </c>
      <c r="K4" s="23" t="s">
        <v>25</v>
      </c>
      <c r="L4" s="23" t="s">
        <v>1025</v>
      </c>
      <c r="M4" s="23" t="s">
        <v>1026</v>
      </c>
      <c r="N4" s="23" t="s">
        <v>1206</v>
      </c>
      <c r="O4" s="23" t="s">
        <v>1207</v>
      </c>
      <c r="P4" s="23" t="s">
        <v>29</v>
      </c>
      <c r="Q4" s="1"/>
    </row>
    <row r="5" spans="1:19" ht="72.5">
      <c r="C5" s="27" t="s">
        <v>31</v>
      </c>
      <c r="D5" s="26" t="s">
        <v>1035</v>
      </c>
      <c r="E5" s="26" t="s">
        <v>622</v>
      </c>
      <c r="F5" s="27" t="s">
        <v>1208</v>
      </c>
      <c r="G5" s="26" t="s">
        <v>636</v>
      </c>
      <c r="H5" s="26" t="s">
        <v>12</v>
      </c>
      <c r="I5" s="27" t="s">
        <v>1031</v>
      </c>
      <c r="J5" s="27" t="s">
        <v>53</v>
      </c>
      <c r="K5" s="33" t="s">
        <v>1037</v>
      </c>
      <c r="L5" s="26" t="s">
        <v>1209</v>
      </c>
      <c r="M5" s="33" t="s">
        <v>639</v>
      </c>
      <c r="N5" s="27" t="s">
        <v>1210</v>
      </c>
      <c r="O5" s="27" t="s">
        <v>1211</v>
      </c>
      <c r="P5" s="51" t="s">
        <v>118</v>
      </c>
      <c r="Q5" s="1"/>
    </row>
    <row r="6" spans="1:19" ht="101.5">
      <c r="C6" s="27" t="s">
        <v>68</v>
      </c>
      <c r="D6" s="26" t="s">
        <v>1167</v>
      </c>
      <c r="E6" s="26" t="s">
        <v>70</v>
      </c>
      <c r="F6" s="27" t="s">
        <v>117</v>
      </c>
      <c r="G6" s="26" t="s">
        <v>85</v>
      </c>
      <c r="H6" s="26" t="s">
        <v>12</v>
      </c>
      <c r="I6" s="27" t="s">
        <v>1031</v>
      </c>
      <c r="J6" s="27" t="s">
        <v>53</v>
      </c>
      <c r="K6" s="33" t="s">
        <v>86</v>
      </c>
      <c r="L6" s="26" t="s">
        <v>87</v>
      </c>
      <c r="M6" s="33" t="s">
        <v>88</v>
      </c>
      <c r="N6" s="27" t="s">
        <v>1210</v>
      </c>
      <c r="O6" s="27" t="s">
        <v>1211</v>
      </c>
      <c r="P6" s="51" t="s">
        <v>118</v>
      </c>
      <c r="Q6" s="1"/>
    </row>
    <row r="7" spans="1:19" ht="101.5">
      <c r="C7" s="37" t="s">
        <v>152</v>
      </c>
      <c r="D7" s="30" t="s">
        <v>966</v>
      </c>
      <c r="E7" s="30" t="s">
        <v>1198</v>
      </c>
      <c r="F7" s="37" t="s">
        <v>1212</v>
      </c>
      <c r="G7" s="30" t="s">
        <v>1200</v>
      </c>
      <c r="H7" s="30" t="s">
        <v>12</v>
      </c>
      <c r="I7" s="37" t="s">
        <v>161</v>
      </c>
      <c r="J7" s="37" t="s">
        <v>53</v>
      </c>
      <c r="K7" s="35" t="s">
        <v>1201</v>
      </c>
      <c r="L7" s="30" t="s">
        <v>1213</v>
      </c>
      <c r="M7" s="35" t="s">
        <v>206</v>
      </c>
      <c r="N7" s="37" t="s">
        <v>1210</v>
      </c>
      <c r="O7" s="37" t="s">
        <v>1211</v>
      </c>
      <c r="P7" s="51" t="s">
        <v>118</v>
      </c>
      <c r="Q7" s="1"/>
    </row>
    <row r="8" spans="1:19">
      <c r="C8" s="46"/>
      <c r="D8" s="46"/>
      <c r="E8" s="46"/>
      <c r="F8" s="46"/>
      <c r="G8" s="46"/>
      <c r="H8" s="42"/>
      <c r="I8" s="46"/>
      <c r="J8" s="46"/>
      <c r="K8" s="46"/>
      <c r="L8" s="46"/>
      <c r="M8" s="46"/>
      <c r="R8" s="46"/>
      <c r="S8" s="46"/>
    </row>
    <row r="9" spans="1:19">
      <c r="C9" s="46"/>
      <c r="D9" s="46"/>
      <c r="E9" s="46"/>
      <c r="F9" s="46"/>
      <c r="G9" s="46"/>
      <c r="H9" s="42"/>
      <c r="I9" s="46"/>
      <c r="J9" s="46"/>
      <c r="K9" s="46"/>
      <c r="L9" s="46"/>
      <c r="M9" s="46"/>
      <c r="R9" s="46"/>
      <c r="S9" s="46"/>
    </row>
    <row r="10" spans="1:19">
      <c r="C10" s="46"/>
      <c r="D10" s="46"/>
      <c r="E10" s="46"/>
      <c r="F10" s="46"/>
      <c r="G10" s="46"/>
      <c r="H10" s="42"/>
      <c r="I10" s="46"/>
      <c r="J10" s="46"/>
      <c r="K10" s="46"/>
      <c r="L10" s="46"/>
      <c r="M10" s="46"/>
      <c r="R10" s="46"/>
      <c r="S10" s="46"/>
    </row>
    <row r="11" spans="1:19">
      <c r="C11" s="42"/>
      <c r="D11" s="42"/>
      <c r="E11" s="42"/>
      <c r="F11" s="42"/>
      <c r="G11" s="42"/>
      <c r="H11" s="42"/>
      <c r="I11" s="42"/>
      <c r="J11" s="42"/>
      <c r="K11" s="42"/>
      <c r="L11" s="42"/>
      <c r="M11" s="42"/>
      <c r="R11" s="42"/>
      <c r="S11" s="42"/>
    </row>
    <row r="12" spans="1:19">
      <c r="C12" s="42"/>
      <c r="D12" s="42"/>
      <c r="E12" s="42"/>
      <c r="F12" s="42"/>
      <c r="G12" s="42"/>
      <c r="H12" s="42"/>
      <c r="I12" s="42"/>
      <c r="J12" s="42"/>
      <c r="K12" s="42"/>
      <c r="L12" s="42"/>
      <c r="M12" s="42"/>
      <c r="R12" s="42"/>
      <c r="S12" s="42"/>
    </row>
    <row r="13" spans="1:19">
      <c r="C13" s="42"/>
      <c r="D13" s="42"/>
      <c r="E13" s="42"/>
      <c r="F13" s="42"/>
      <c r="G13" s="42"/>
      <c r="H13" s="42"/>
      <c r="I13" s="42"/>
      <c r="J13" s="42"/>
      <c r="K13" s="42"/>
      <c r="L13" s="42"/>
      <c r="M13" s="42"/>
      <c r="R13" s="42"/>
      <c r="S13" s="42"/>
    </row>
    <row r="14" spans="1:19">
      <c r="C14" s="42"/>
      <c r="D14" s="42"/>
      <c r="E14" s="42"/>
      <c r="F14" s="42"/>
      <c r="G14" s="42"/>
      <c r="H14" s="42"/>
      <c r="I14" s="42"/>
      <c r="J14" s="42"/>
      <c r="K14" s="42"/>
      <c r="L14" s="42"/>
      <c r="M14" s="42"/>
      <c r="R14" s="42"/>
      <c r="S14" s="42"/>
    </row>
    <row r="15" spans="1:19">
      <c r="C15" s="42"/>
      <c r="D15" s="42"/>
      <c r="E15" s="42"/>
      <c r="F15" s="42"/>
      <c r="G15" s="42"/>
      <c r="H15" s="42"/>
      <c r="I15" s="42"/>
      <c r="J15" s="42"/>
      <c r="K15" s="42"/>
      <c r="L15" s="42"/>
      <c r="M15" s="42"/>
      <c r="R15" s="42"/>
      <c r="S15" s="42"/>
    </row>
    <row r="16" spans="1:19">
      <c r="C16" s="42"/>
      <c r="D16" s="42"/>
      <c r="E16" s="42"/>
      <c r="F16" s="42"/>
      <c r="G16" s="42"/>
      <c r="H16" s="42"/>
      <c r="I16" s="42"/>
      <c r="J16" s="42"/>
      <c r="K16" s="42"/>
      <c r="L16" s="42"/>
      <c r="M16" s="42"/>
      <c r="R16" s="42"/>
      <c r="S16" s="42"/>
    </row>
    <row r="17" spans="3:19">
      <c r="C17" s="42"/>
      <c r="D17" s="42"/>
      <c r="E17" s="42"/>
      <c r="F17" s="42"/>
      <c r="G17" s="42"/>
      <c r="H17" s="42"/>
      <c r="I17" s="42"/>
      <c r="J17" s="42"/>
      <c r="K17" s="42"/>
      <c r="L17" s="42"/>
      <c r="M17" s="42"/>
      <c r="R17" s="42"/>
      <c r="S17" s="42"/>
    </row>
    <row r="18" spans="3:19">
      <c r="C18" s="42"/>
      <c r="D18" s="42"/>
      <c r="E18" s="42"/>
      <c r="F18" s="42"/>
      <c r="G18" s="42"/>
      <c r="H18" s="42"/>
      <c r="I18" s="42"/>
      <c r="J18" s="42"/>
      <c r="K18" s="42"/>
      <c r="L18" s="42"/>
      <c r="M18" s="42"/>
      <c r="R18" s="42"/>
      <c r="S18" s="42"/>
    </row>
    <row r="19" spans="3:19">
      <c r="C19" s="42"/>
      <c r="D19" s="42"/>
      <c r="E19" s="42"/>
      <c r="F19" s="42"/>
      <c r="G19" s="42"/>
      <c r="H19" s="42"/>
      <c r="I19" s="42"/>
      <c r="J19" s="42"/>
      <c r="K19" s="42"/>
      <c r="L19" s="42"/>
      <c r="M19" s="42"/>
      <c r="R19" s="42"/>
      <c r="S19" s="42"/>
    </row>
    <row r="20" spans="3:19">
      <c r="C20" s="42"/>
      <c r="D20" s="42"/>
      <c r="E20" s="42"/>
      <c r="F20" s="42"/>
      <c r="G20" s="42"/>
      <c r="H20" s="42"/>
      <c r="I20" s="42"/>
      <c r="J20" s="42"/>
      <c r="K20" s="42"/>
      <c r="L20" s="42"/>
      <c r="M20" s="42"/>
      <c r="R20" s="42"/>
      <c r="S20" s="42"/>
    </row>
    <row r="21" spans="3:19">
      <c r="C21" s="42"/>
      <c r="D21" s="42"/>
      <c r="E21" s="42"/>
      <c r="F21" s="42"/>
      <c r="G21" s="42"/>
      <c r="H21" s="42"/>
      <c r="I21" s="42"/>
      <c r="J21" s="42"/>
      <c r="K21" s="42"/>
      <c r="L21" s="42"/>
      <c r="M21" s="42"/>
      <c r="R21" s="42"/>
      <c r="S21" s="42"/>
    </row>
    <row r="22" spans="3:19">
      <c r="C22" s="42"/>
      <c r="D22" s="42"/>
      <c r="E22" s="42"/>
      <c r="F22" s="42"/>
      <c r="G22" s="42"/>
      <c r="H22" s="42"/>
      <c r="I22" s="42"/>
      <c r="J22" s="42"/>
      <c r="K22" s="42"/>
      <c r="L22" s="42"/>
      <c r="M22" s="42"/>
      <c r="R22" s="42"/>
      <c r="S22" s="42"/>
    </row>
    <row r="23" spans="3:19">
      <c r="C23" s="42"/>
      <c r="D23" s="42"/>
      <c r="E23" s="42"/>
      <c r="F23" s="42"/>
      <c r="G23" s="42"/>
      <c r="H23" s="42"/>
      <c r="I23" s="42"/>
      <c r="J23" s="42"/>
      <c r="K23" s="42"/>
      <c r="L23" s="42"/>
      <c r="M23" s="42"/>
      <c r="R23" s="42"/>
      <c r="S23" s="42"/>
    </row>
    <row r="24" spans="3:19">
      <c r="C24" s="42"/>
      <c r="D24" s="42"/>
      <c r="E24" s="42"/>
      <c r="F24" s="42"/>
      <c r="G24" s="42"/>
      <c r="H24" s="42"/>
      <c r="I24" s="42"/>
      <c r="J24" s="42"/>
      <c r="K24" s="42"/>
      <c r="L24" s="42"/>
      <c r="M24" s="42"/>
      <c r="R24" s="42"/>
      <c r="S24" s="42"/>
    </row>
    <row r="25" spans="3:19">
      <c r="C25" s="42"/>
      <c r="D25" s="42"/>
      <c r="E25" s="42"/>
      <c r="F25" s="42"/>
      <c r="G25" s="42"/>
      <c r="H25" s="42"/>
      <c r="I25" s="42"/>
      <c r="J25" s="42"/>
      <c r="K25" s="42"/>
      <c r="L25" s="42"/>
      <c r="M25" s="42"/>
      <c r="R25" s="42"/>
      <c r="S25" s="42"/>
    </row>
    <row r="26" spans="3:19">
      <c r="C26" s="42"/>
      <c r="D26" s="42"/>
      <c r="E26" s="42"/>
      <c r="F26" s="42"/>
      <c r="G26" s="42"/>
      <c r="H26" s="42"/>
      <c r="I26" s="42"/>
      <c r="J26" s="42"/>
      <c r="K26" s="42"/>
      <c r="L26" s="42"/>
      <c r="M26" s="42"/>
      <c r="R26" s="42"/>
      <c r="S26" s="42"/>
    </row>
    <row r="27" spans="3:19">
      <c r="C27" s="42"/>
      <c r="D27" s="42"/>
      <c r="E27" s="42"/>
      <c r="F27" s="42"/>
      <c r="G27" s="42"/>
      <c r="H27" s="42"/>
      <c r="I27" s="42"/>
      <c r="J27" s="42"/>
      <c r="K27" s="42"/>
      <c r="L27" s="42"/>
      <c r="M27" s="42"/>
      <c r="R27" s="42"/>
      <c r="S27" s="42"/>
    </row>
    <row r="28" spans="3:19">
      <c r="C28" s="42"/>
      <c r="D28" s="42"/>
      <c r="E28" s="42"/>
      <c r="F28" s="42"/>
      <c r="G28" s="42"/>
      <c r="H28" s="42"/>
      <c r="I28" s="42"/>
      <c r="J28" s="42"/>
      <c r="K28" s="42"/>
      <c r="L28" s="42"/>
      <c r="M28" s="42"/>
      <c r="R28" s="42"/>
      <c r="S28" s="42"/>
    </row>
    <row r="29" spans="3:19">
      <c r="C29" s="42"/>
      <c r="D29" s="42"/>
      <c r="E29" s="42"/>
      <c r="F29" s="42"/>
      <c r="G29" s="42"/>
      <c r="H29" s="42"/>
      <c r="I29" s="42"/>
      <c r="J29" s="42"/>
      <c r="K29" s="42"/>
      <c r="L29" s="42"/>
      <c r="M29" s="42"/>
      <c r="R29" s="42"/>
      <c r="S29" s="42"/>
    </row>
    <row r="30" spans="3:19">
      <c r="C30" s="42"/>
      <c r="D30" s="42"/>
      <c r="E30" s="42"/>
      <c r="F30" s="42"/>
      <c r="G30" s="42"/>
      <c r="H30" s="42"/>
      <c r="I30" s="42"/>
      <c r="J30" s="42"/>
      <c r="K30" s="42"/>
      <c r="L30" s="42"/>
      <c r="M30" s="42"/>
      <c r="R30" s="42"/>
      <c r="S30" s="42"/>
    </row>
    <row r="31" spans="3:19">
      <c r="C31" s="42"/>
      <c r="D31" s="42"/>
      <c r="E31" s="42"/>
      <c r="F31" s="42"/>
      <c r="G31" s="42"/>
      <c r="H31" s="42"/>
      <c r="I31" s="42"/>
      <c r="J31" s="42"/>
      <c r="K31" s="42"/>
      <c r="L31" s="42"/>
      <c r="M31" s="42"/>
      <c r="R31" s="42"/>
      <c r="S31" s="42"/>
    </row>
    <row r="32" spans="3:19">
      <c r="C32" s="42"/>
      <c r="D32" s="42"/>
      <c r="E32" s="42"/>
      <c r="F32" s="42"/>
      <c r="G32" s="42"/>
      <c r="H32" s="42"/>
      <c r="I32" s="42"/>
      <c r="J32" s="42"/>
      <c r="K32" s="42"/>
      <c r="L32" s="42"/>
      <c r="M32" s="42"/>
      <c r="R32" s="42"/>
      <c r="S32" s="42"/>
    </row>
    <row r="33" spans="3:19">
      <c r="C33" s="42"/>
      <c r="D33" s="42"/>
      <c r="E33" s="42"/>
      <c r="F33" s="42"/>
      <c r="G33" s="42"/>
      <c r="H33" s="42"/>
      <c r="I33" s="42"/>
      <c r="J33" s="42"/>
      <c r="K33" s="42"/>
      <c r="L33" s="42"/>
      <c r="M33" s="42"/>
      <c r="R33" s="42"/>
      <c r="S33" s="42"/>
    </row>
    <row r="34" spans="3:19">
      <c r="C34" s="42"/>
      <c r="D34" s="42"/>
      <c r="E34" s="42"/>
      <c r="F34" s="42"/>
      <c r="G34" s="42"/>
      <c r="H34" s="42"/>
      <c r="I34" s="42"/>
      <c r="J34" s="42"/>
      <c r="K34" s="42"/>
      <c r="L34" s="42"/>
      <c r="M34" s="42"/>
      <c r="R34" s="42"/>
      <c r="S34" s="42"/>
    </row>
    <row r="35" spans="3:19">
      <c r="C35" s="42"/>
      <c r="D35" s="42"/>
      <c r="E35" s="42"/>
      <c r="F35" s="42"/>
      <c r="G35" s="42"/>
      <c r="H35" s="42"/>
      <c r="I35" s="42"/>
      <c r="J35" s="42"/>
      <c r="K35" s="42"/>
      <c r="L35" s="42"/>
      <c r="M35" s="42"/>
      <c r="R35" s="42"/>
      <c r="S35" s="42"/>
    </row>
    <row r="36" spans="3:19">
      <c r="C36" s="42"/>
      <c r="D36" s="42"/>
      <c r="E36" s="42"/>
      <c r="F36" s="42"/>
      <c r="G36" s="42"/>
      <c r="H36" s="42"/>
      <c r="I36" s="42"/>
      <c r="J36" s="42"/>
      <c r="K36" s="42"/>
      <c r="L36" s="42"/>
      <c r="M36" s="42"/>
      <c r="R36" s="42"/>
      <c r="S36" s="42"/>
    </row>
    <row r="37" spans="3:19">
      <c r="C37" s="42"/>
      <c r="D37" s="42"/>
      <c r="E37" s="42"/>
      <c r="F37" s="42"/>
      <c r="G37" s="42"/>
      <c r="H37" s="42"/>
      <c r="I37" s="42"/>
      <c r="J37" s="42"/>
      <c r="K37" s="42"/>
      <c r="L37" s="42"/>
      <c r="M37" s="42"/>
      <c r="R37" s="42"/>
      <c r="S37" s="42"/>
    </row>
    <row r="38" spans="3:19">
      <c r="C38" s="42"/>
      <c r="D38" s="42"/>
      <c r="E38" s="42"/>
      <c r="F38" s="42"/>
      <c r="G38" s="42"/>
      <c r="H38" s="42"/>
      <c r="I38" s="42"/>
      <c r="J38" s="42"/>
      <c r="K38" s="42"/>
      <c r="L38" s="42"/>
      <c r="M38" s="42"/>
      <c r="R38" s="42"/>
      <c r="S38" s="42"/>
    </row>
    <row r="39" spans="3:19">
      <c r="C39" s="42"/>
      <c r="D39" s="42"/>
      <c r="E39" s="42"/>
      <c r="F39" s="42"/>
      <c r="G39" s="42"/>
      <c r="H39" s="42"/>
      <c r="I39" s="42"/>
      <c r="J39" s="42"/>
      <c r="K39" s="42"/>
      <c r="L39" s="42"/>
      <c r="M39" s="42"/>
      <c r="R39" s="42"/>
      <c r="S39" s="42"/>
    </row>
    <row r="40" spans="3:19">
      <c r="C40" s="42"/>
      <c r="D40" s="42"/>
      <c r="E40" s="42"/>
      <c r="F40" s="42"/>
      <c r="G40" s="42"/>
      <c r="H40" s="42"/>
      <c r="I40" s="42"/>
      <c r="J40" s="42"/>
      <c r="K40" s="42"/>
      <c r="L40" s="42"/>
      <c r="M40" s="42"/>
      <c r="R40" s="42"/>
      <c r="S40" s="42"/>
    </row>
    <row r="41" spans="3:19">
      <c r="C41" s="42"/>
      <c r="D41" s="42"/>
      <c r="E41" s="42"/>
      <c r="F41" s="42"/>
      <c r="G41" s="42"/>
      <c r="H41" s="42"/>
      <c r="I41" s="42"/>
      <c r="J41" s="42"/>
      <c r="K41" s="42"/>
      <c r="L41" s="42"/>
      <c r="M41" s="42"/>
      <c r="R41" s="42"/>
      <c r="S41" s="42"/>
    </row>
    <row r="42" spans="3:19">
      <c r="C42" s="42"/>
      <c r="D42" s="42"/>
      <c r="E42" s="42"/>
      <c r="F42" s="42"/>
      <c r="G42" s="42"/>
      <c r="H42" s="42"/>
      <c r="I42" s="42"/>
      <c r="J42" s="42"/>
      <c r="K42" s="42"/>
      <c r="L42" s="42"/>
      <c r="M42" s="42"/>
      <c r="R42" s="42"/>
      <c r="S42" s="42"/>
    </row>
    <row r="43" spans="3:19">
      <c r="C43" s="42"/>
      <c r="D43" s="42"/>
      <c r="E43" s="42"/>
      <c r="F43" s="42"/>
      <c r="G43" s="42"/>
      <c r="H43" s="42"/>
      <c r="I43" s="42"/>
      <c r="J43" s="42"/>
      <c r="K43" s="42"/>
      <c r="L43" s="42"/>
      <c r="M43" s="42"/>
      <c r="R43" s="42"/>
      <c r="S43" s="42"/>
    </row>
    <row r="44" spans="3:19">
      <c r="C44" s="42"/>
      <c r="D44" s="42"/>
      <c r="E44" s="42"/>
      <c r="F44" s="42"/>
      <c r="G44" s="42"/>
      <c r="H44" s="42"/>
      <c r="I44" s="42"/>
      <c r="J44" s="42"/>
      <c r="K44" s="42"/>
      <c r="L44" s="42"/>
      <c r="M44" s="42"/>
      <c r="R44" s="42"/>
      <c r="S44" s="42"/>
    </row>
    <row r="45" spans="3:19">
      <c r="C45" s="42"/>
      <c r="D45" s="42"/>
      <c r="E45" s="42"/>
      <c r="F45" s="42"/>
      <c r="G45" s="42"/>
      <c r="H45" s="42"/>
      <c r="I45" s="42"/>
      <c r="J45" s="42"/>
      <c r="K45" s="42"/>
      <c r="L45" s="42"/>
      <c r="M45" s="42"/>
      <c r="R45" s="42"/>
      <c r="S45" s="42"/>
    </row>
    <row r="46" spans="3:19">
      <c r="C46" s="42"/>
      <c r="D46" s="42"/>
      <c r="E46" s="42"/>
      <c r="F46" s="42"/>
      <c r="G46" s="42"/>
      <c r="H46" s="42"/>
      <c r="I46" s="42"/>
      <c r="J46" s="42"/>
      <c r="K46" s="42"/>
      <c r="L46" s="42"/>
      <c r="M46" s="42"/>
      <c r="R46" s="42"/>
      <c r="S46" s="42"/>
    </row>
    <row r="47" spans="3:19">
      <c r="C47" s="42"/>
      <c r="D47" s="42"/>
      <c r="E47" s="42"/>
      <c r="F47" s="42"/>
      <c r="G47" s="42"/>
      <c r="H47" s="42"/>
      <c r="I47" s="42"/>
      <c r="J47" s="42"/>
      <c r="K47" s="42"/>
      <c r="L47" s="42"/>
      <c r="M47" s="42"/>
      <c r="R47" s="42"/>
      <c r="S47" s="42"/>
    </row>
    <row r="48" spans="3:19">
      <c r="C48" s="42"/>
      <c r="D48" s="42"/>
      <c r="E48" s="42"/>
      <c r="F48" s="42"/>
      <c r="G48" s="42"/>
      <c r="H48" s="42"/>
      <c r="I48" s="42"/>
      <c r="J48" s="42"/>
      <c r="K48" s="42"/>
      <c r="L48" s="42"/>
      <c r="M48" s="42"/>
      <c r="R48" s="42"/>
      <c r="S48" s="42"/>
    </row>
    <row r="49" spans="3:19">
      <c r="C49" s="42"/>
      <c r="D49" s="42"/>
      <c r="E49" s="42"/>
      <c r="F49" s="42"/>
      <c r="G49" s="42"/>
      <c r="H49" s="42"/>
      <c r="I49" s="42"/>
      <c r="J49" s="42"/>
      <c r="K49" s="42"/>
      <c r="L49" s="42"/>
      <c r="M49" s="42"/>
      <c r="R49" s="42"/>
      <c r="S49" s="42"/>
    </row>
    <row r="50" spans="3:19">
      <c r="C50" s="42"/>
      <c r="D50" s="42"/>
      <c r="E50" s="42"/>
      <c r="F50" s="42"/>
      <c r="G50" s="42"/>
      <c r="H50" s="42"/>
      <c r="I50" s="42"/>
      <c r="J50" s="42"/>
      <c r="K50" s="42"/>
      <c r="L50" s="42"/>
      <c r="M50" s="42"/>
      <c r="R50" s="42"/>
      <c r="S50" s="42"/>
    </row>
    <row r="51" spans="3:19">
      <c r="C51" s="42"/>
      <c r="D51" s="42"/>
      <c r="E51" s="42"/>
      <c r="F51" s="42"/>
      <c r="G51" s="42"/>
      <c r="H51" s="42"/>
      <c r="I51" s="42"/>
      <c r="J51" s="42"/>
      <c r="K51" s="42"/>
      <c r="L51" s="42"/>
      <c r="M51" s="42"/>
      <c r="R51" s="42"/>
      <c r="S51" s="42"/>
    </row>
    <row r="52" spans="3:19">
      <c r="C52" s="42"/>
      <c r="D52" s="42"/>
      <c r="E52" s="42"/>
      <c r="F52" s="42"/>
      <c r="G52" s="42"/>
      <c r="H52" s="42"/>
      <c r="I52" s="42"/>
      <c r="J52" s="42"/>
      <c r="K52" s="42"/>
      <c r="L52" s="42"/>
      <c r="M52" s="42"/>
      <c r="R52" s="42"/>
      <c r="S52" s="42"/>
    </row>
    <row r="53" spans="3:19">
      <c r="C53" s="42"/>
      <c r="D53" s="42"/>
      <c r="E53" s="42"/>
      <c r="F53" s="42"/>
      <c r="G53" s="42"/>
      <c r="H53" s="42"/>
      <c r="I53" s="42"/>
      <c r="J53" s="42"/>
      <c r="K53" s="42"/>
      <c r="L53" s="42"/>
      <c r="M53" s="42"/>
      <c r="R53" s="42"/>
      <c r="S53" s="42"/>
    </row>
    <row r="54" spans="3:19">
      <c r="C54" s="42"/>
      <c r="D54" s="42"/>
      <c r="E54" s="42"/>
      <c r="F54" s="42"/>
      <c r="G54" s="42"/>
      <c r="H54" s="42"/>
      <c r="I54" s="42"/>
      <c r="J54" s="42"/>
      <c r="K54" s="42"/>
      <c r="L54" s="42"/>
      <c r="M54" s="42"/>
      <c r="R54" s="42"/>
      <c r="S54" s="42"/>
    </row>
    <row r="55" spans="3:19">
      <c r="C55" s="42"/>
      <c r="D55" s="42"/>
      <c r="E55" s="42"/>
      <c r="F55" s="42"/>
      <c r="G55" s="42"/>
      <c r="H55" s="42"/>
      <c r="I55" s="42"/>
      <c r="J55" s="42"/>
      <c r="K55" s="42"/>
      <c r="L55" s="42"/>
      <c r="M55" s="42"/>
      <c r="R55" s="42"/>
      <c r="S55" s="42"/>
    </row>
    <row r="56" spans="3:19">
      <c r="C56" s="42"/>
      <c r="D56" s="42"/>
      <c r="E56" s="42"/>
      <c r="F56" s="42"/>
      <c r="G56" s="42"/>
      <c r="H56" s="42"/>
      <c r="I56" s="42"/>
      <c r="J56" s="42"/>
      <c r="K56" s="42"/>
      <c r="L56" s="42"/>
      <c r="M56" s="42"/>
      <c r="R56" s="42"/>
      <c r="S56" s="42"/>
    </row>
    <row r="57" spans="3:19">
      <c r="C57" s="42"/>
      <c r="D57" s="42"/>
      <c r="E57" s="42"/>
      <c r="F57" s="42"/>
      <c r="G57" s="42"/>
      <c r="H57" s="42"/>
      <c r="I57" s="42"/>
      <c r="J57" s="42"/>
      <c r="K57" s="42"/>
      <c r="L57" s="42"/>
      <c r="M57" s="42"/>
      <c r="R57" s="42"/>
      <c r="S57" s="42"/>
    </row>
    <row r="58" spans="3:19">
      <c r="C58" s="42"/>
      <c r="D58" s="42"/>
      <c r="E58" s="42"/>
      <c r="F58" s="42"/>
      <c r="G58" s="42"/>
      <c r="H58" s="42"/>
      <c r="I58" s="42"/>
      <c r="J58" s="42"/>
      <c r="K58" s="42"/>
      <c r="L58" s="42"/>
      <c r="M58" s="42"/>
      <c r="R58" s="42"/>
      <c r="S58" s="42"/>
    </row>
    <row r="59" spans="3:19">
      <c r="C59" s="42"/>
      <c r="D59" s="42"/>
      <c r="E59" s="42"/>
      <c r="F59" s="42"/>
      <c r="G59" s="42"/>
      <c r="H59" s="42"/>
      <c r="I59" s="42"/>
      <c r="J59" s="42"/>
      <c r="K59" s="42"/>
      <c r="L59" s="42"/>
      <c r="M59" s="42"/>
      <c r="R59" s="42"/>
      <c r="S59" s="42"/>
    </row>
    <row r="60" spans="3:19">
      <c r="C60" s="42"/>
      <c r="D60" s="42"/>
      <c r="E60" s="42"/>
      <c r="F60" s="42"/>
      <c r="G60" s="42"/>
      <c r="H60" s="42"/>
      <c r="I60" s="42"/>
      <c r="J60" s="42"/>
      <c r="K60" s="42"/>
      <c r="L60" s="42"/>
      <c r="M60" s="42"/>
      <c r="R60" s="42"/>
      <c r="S60" s="42"/>
    </row>
    <row r="61" spans="3:19">
      <c r="C61" s="42"/>
      <c r="D61" s="42"/>
      <c r="E61" s="42"/>
      <c r="F61" s="42"/>
      <c r="G61" s="42"/>
      <c r="H61" s="42"/>
      <c r="I61" s="42"/>
      <c r="J61" s="42"/>
      <c r="K61" s="42"/>
      <c r="L61" s="42"/>
      <c r="M61" s="42"/>
      <c r="R61" s="42"/>
      <c r="S61" s="42"/>
    </row>
    <row r="62" spans="3:19">
      <c r="C62" s="43"/>
      <c r="D62" s="42"/>
      <c r="E62" s="42"/>
      <c r="F62" s="43"/>
      <c r="G62" s="42"/>
      <c r="H62" s="42"/>
      <c r="I62" s="43"/>
      <c r="J62" s="42"/>
      <c r="K62" s="42"/>
      <c r="L62" s="42"/>
      <c r="M62" s="42"/>
      <c r="R62" s="43"/>
      <c r="S62" s="43"/>
    </row>
    <row r="63" spans="3:19">
      <c r="C63" s="43"/>
      <c r="D63" s="42"/>
      <c r="E63" s="42"/>
      <c r="F63" s="43"/>
      <c r="G63" s="42"/>
      <c r="H63" s="42"/>
      <c r="I63" s="43"/>
      <c r="J63" s="42"/>
      <c r="K63" s="42"/>
      <c r="L63" s="42"/>
      <c r="M63" s="42"/>
      <c r="R63" s="43"/>
      <c r="S63" s="43"/>
    </row>
    <row r="64" spans="3:19">
      <c r="C64" s="43"/>
      <c r="D64" s="42"/>
      <c r="E64" s="42"/>
      <c r="F64" s="43"/>
      <c r="G64" s="42"/>
      <c r="H64" s="42"/>
      <c r="I64" s="43"/>
      <c r="J64" s="42"/>
      <c r="K64" s="42"/>
      <c r="L64" s="42"/>
      <c r="M64" s="42"/>
      <c r="R64" s="43"/>
      <c r="S64" s="43"/>
    </row>
    <row r="65" spans="3:19">
      <c r="C65" s="43"/>
      <c r="D65" s="42"/>
      <c r="E65" s="42"/>
      <c r="F65" s="43"/>
      <c r="G65" s="42"/>
      <c r="H65" s="42"/>
      <c r="I65" s="43"/>
      <c r="J65" s="42"/>
      <c r="K65" s="42"/>
      <c r="L65" s="42"/>
      <c r="M65" s="42"/>
      <c r="R65" s="43"/>
      <c r="S65" s="43"/>
    </row>
    <row r="66" spans="3:19">
      <c r="C66" s="43"/>
      <c r="D66" s="42"/>
      <c r="E66" s="42"/>
      <c r="F66" s="43"/>
      <c r="G66" s="42"/>
      <c r="H66" s="42"/>
      <c r="I66" s="43"/>
      <c r="J66" s="42"/>
      <c r="K66" s="42"/>
      <c r="L66" s="42"/>
      <c r="M66" s="42"/>
      <c r="R66" s="43"/>
      <c r="S66" s="43"/>
    </row>
    <row r="67" spans="3:19">
      <c r="C67" s="43"/>
      <c r="D67" s="42"/>
      <c r="E67" s="42"/>
      <c r="F67" s="43"/>
      <c r="G67" s="42"/>
      <c r="H67" s="42"/>
      <c r="I67" s="43"/>
      <c r="J67" s="42"/>
      <c r="K67" s="42"/>
      <c r="L67" s="42"/>
      <c r="M67" s="42"/>
      <c r="R67" s="43"/>
      <c r="S67" s="43"/>
    </row>
    <row r="68" spans="3:19">
      <c r="C68" s="43"/>
      <c r="D68" s="42"/>
      <c r="E68" s="42"/>
      <c r="F68" s="43"/>
      <c r="G68" s="42"/>
      <c r="H68" s="42"/>
      <c r="I68" s="43"/>
      <c r="J68" s="42"/>
      <c r="K68" s="42"/>
      <c r="L68" s="42"/>
      <c r="M68" s="42"/>
      <c r="R68" s="43"/>
      <c r="S68" s="43"/>
    </row>
    <row r="69" spans="3:19">
      <c r="C69" s="43"/>
      <c r="D69" s="42"/>
      <c r="E69" s="42"/>
      <c r="F69" s="43"/>
      <c r="G69" s="42"/>
      <c r="H69" s="42"/>
      <c r="I69" s="43"/>
      <c r="J69" s="42"/>
      <c r="K69" s="42"/>
      <c r="L69" s="42"/>
      <c r="M69" s="42"/>
      <c r="R69" s="43"/>
      <c r="S69" s="43"/>
    </row>
    <row r="70" spans="3:19">
      <c r="C70" s="43"/>
      <c r="D70" s="42"/>
      <c r="E70" s="42"/>
      <c r="F70" s="43"/>
      <c r="G70" s="42"/>
      <c r="H70" s="42"/>
      <c r="I70" s="43"/>
      <c r="J70" s="42"/>
      <c r="K70" s="42"/>
      <c r="L70" s="42"/>
      <c r="M70" s="42"/>
      <c r="R70" s="43"/>
      <c r="S70" s="43"/>
    </row>
    <row r="71" spans="3:19">
      <c r="C71" s="43"/>
      <c r="D71" s="42"/>
      <c r="E71" s="42"/>
      <c r="F71" s="43"/>
      <c r="G71" s="42"/>
      <c r="H71" s="42"/>
      <c r="I71" s="43"/>
      <c r="J71" s="42"/>
      <c r="K71" s="42"/>
      <c r="L71" s="42"/>
      <c r="M71" s="42"/>
      <c r="R71" s="43"/>
      <c r="S71" s="43"/>
    </row>
    <row r="72" spans="3:19">
      <c r="C72" s="43"/>
      <c r="D72" s="42"/>
      <c r="E72" s="42"/>
      <c r="F72" s="43"/>
      <c r="G72" s="42"/>
      <c r="H72" s="42"/>
      <c r="I72" s="43"/>
      <c r="J72" s="42"/>
      <c r="K72" s="42"/>
      <c r="L72" s="42"/>
      <c r="M72" s="42"/>
      <c r="R72" s="43"/>
      <c r="S72" s="43"/>
    </row>
    <row r="73" spans="3:19">
      <c r="C73" s="43"/>
      <c r="D73" s="42"/>
      <c r="E73" s="42"/>
      <c r="F73" s="43"/>
      <c r="G73" s="42"/>
      <c r="H73" s="42"/>
      <c r="I73" s="43"/>
      <c r="J73" s="42"/>
      <c r="K73" s="42"/>
      <c r="L73" s="42"/>
      <c r="M73" s="42"/>
      <c r="R73" s="43"/>
      <c r="S73" s="43"/>
    </row>
    <row r="74" spans="3:19">
      <c r="C74" s="43"/>
      <c r="D74" s="42"/>
      <c r="E74" s="42"/>
      <c r="F74" s="43"/>
      <c r="G74" s="42"/>
      <c r="H74" s="42"/>
      <c r="I74" s="43"/>
      <c r="J74" s="42"/>
      <c r="K74" s="42"/>
      <c r="L74" s="42"/>
      <c r="M74" s="42"/>
      <c r="R74" s="43"/>
      <c r="S74" s="43"/>
    </row>
    <row r="75" spans="3:19">
      <c r="C75" s="43"/>
      <c r="D75" s="42"/>
      <c r="E75" s="42"/>
      <c r="F75" s="43"/>
      <c r="G75" s="42"/>
      <c r="H75" s="42"/>
      <c r="I75" s="43"/>
      <c r="J75" s="42"/>
      <c r="K75" s="42"/>
      <c r="L75" s="42"/>
      <c r="M75" s="42"/>
      <c r="R75" s="43"/>
      <c r="S75" s="43"/>
    </row>
    <row r="76" spans="3:19">
      <c r="C76" s="43"/>
      <c r="D76" s="42"/>
      <c r="E76" s="42"/>
      <c r="F76" s="43"/>
      <c r="G76" s="42"/>
      <c r="H76" s="42"/>
      <c r="I76" s="43"/>
      <c r="J76" s="42"/>
      <c r="K76" s="42"/>
      <c r="L76" s="42"/>
      <c r="M76" s="42"/>
      <c r="R76" s="43"/>
      <c r="S76" s="43"/>
    </row>
    <row r="77" spans="3:19">
      <c r="C77" s="43"/>
      <c r="D77" s="42"/>
      <c r="E77" s="42"/>
      <c r="F77" s="43"/>
      <c r="G77" s="42"/>
      <c r="H77" s="42"/>
      <c r="I77" s="43"/>
      <c r="J77" s="42"/>
      <c r="K77" s="42"/>
      <c r="L77" s="42"/>
      <c r="M77" s="42"/>
      <c r="R77" s="43"/>
      <c r="S77" s="43"/>
    </row>
    <row r="78" spans="3:19">
      <c r="C78" s="43"/>
      <c r="D78" s="42"/>
      <c r="E78" s="42"/>
      <c r="F78" s="43"/>
      <c r="G78" s="42"/>
      <c r="H78" s="42"/>
      <c r="I78" s="43"/>
      <c r="J78" s="42"/>
      <c r="K78" s="42"/>
      <c r="L78" s="42"/>
      <c r="M78" s="42"/>
      <c r="R78" s="43"/>
      <c r="S78" s="43"/>
    </row>
    <row r="79" spans="3:19">
      <c r="C79" s="43"/>
      <c r="D79" s="42"/>
      <c r="E79" s="42"/>
      <c r="F79" s="43"/>
      <c r="G79" s="42"/>
      <c r="H79" s="42"/>
      <c r="I79" s="43"/>
      <c r="J79" s="42"/>
      <c r="K79" s="42"/>
      <c r="L79" s="42"/>
      <c r="M79" s="42"/>
      <c r="R79" s="43"/>
      <c r="S79" s="43"/>
    </row>
    <row r="80" spans="3:19">
      <c r="C80" s="43"/>
      <c r="D80" s="42"/>
      <c r="E80" s="42"/>
      <c r="F80" s="43"/>
      <c r="G80" s="42"/>
      <c r="H80" s="42"/>
      <c r="I80" s="43"/>
      <c r="J80" s="42"/>
      <c r="K80" s="42"/>
      <c r="L80" s="42"/>
      <c r="M80" s="42"/>
      <c r="R80" s="43"/>
      <c r="S80" s="43"/>
    </row>
    <row r="81" spans="3:19">
      <c r="C81" s="43"/>
      <c r="D81" s="42"/>
      <c r="E81" s="42"/>
      <c r="F81" s="43"/>
      <c r="G81" s="42"/>
      <c r="H81" s="42"/>
      <c r="I81" s="43"/>
      <c r="J81" s="42"/>
      <c r="K81" s="42"/>
      <c r="L81" s="42"/>
      <c r="M81" s="42"/>
      <c r="R81" s="43"/>
      <c r="S81" s="43"/>
    </row>
    <row r="82" spans="3:19">
      <c r="C82" s="43"/>
      <c r="D82" s="42"/>
      <c r="E82" s="42"/>
      <c r="F82" s="43"/>
      <c r="G82" s="42"/>
      <c r="H82" s="42"/>
      <c r="I82" s="43"/>
      <c r="J82" s="42"/>
      <c r="K82" s="42"/>
      <c r="L82" s="42"/>
      <c r="M82" s="42"/>
      <c r="R82" s="43"/>
      <c r="S82" s="43"/>
    </row>
    <row r="83" spans="3:19">
      <c r="C83" s="43"/>
      <c r="D83" s="42"/>
      <c r="E83" s="42"/>
      <c r="F83" s="43"/>
      <c r="G83" s="42"/>
      <c r="H83" s="42"/>
      <c r="I83" s="43"/>
      <c r="J83" s="42"/>
      <c r="K83" s="42"/>
      <c r="L83" s="42"/>
      <c r="M83" s="42"/>
      <c r="R83" s="43"/>
      <c r="S83" s="43"/>
    </row>
    <row r="84" spans="3:19">
      <c r="C84" s="43"/>
      <c r="D84" s="42"/>
      <c r="E84" s="42"/>
      <c r="F84" s="43"/>
      <c r="G84" s="42"/>
      <c r="H84" s="42"/>
      <c r="I84" s="43"/>
      <c r="J84" s="42"/>
      <c r="K84" s="42"/>
      <c r="L84" s="42"/>
      <c r="M84" s="42"/>
      <c r="R84" s="43"/>
      <c r="S84" s="43"/>
    </row>
    <row r="85" spans="3:19">
      <c r="C85" s="43"/>
      <c r="D85" s="42"/>
      <c r="E85" s="42"/>
      <c r="F85" s="43"/>
      <c r="G85" s="42"/>
      <c r="H85" s="42"/>
      <c r="I85" s="43"/>
      <c r="J85" s="42"/>
      <c r="K85" s="42"/>
      <c r="L85" s="42"/>
      <c r="M85" s="42"/>
      <c r="R85" s="43"/>
      <c r="S85" s="43"/>
    </row>
    <row r="86" spans="3:19">
      <c r="C86" s="43"/>
      <c r="D86" s="42"/>
      <c r="E86" s="42"/>
      <c r="F86" s="43"/>
      <c r="G86" s="42"/>
      <c r="H86" s="42"/>
      <c r="I86" s="43"/>
      <c r="J86" s="42"/>
      <c r="K86" s="42"/>
      <c r="L86" s="42"/>
      <c r="M86" s="42"/>
      <c r="R86" s="43"/>
      <c r="S86" s="43"/>
    </row>
    <row r="87" spans="3:19">
      <c r="C87" s="43"/>
      <c r="D87" s="42"/>
      <c r="E87" s="42"/>
      <c r="F87" s="43"/>
      <c r="G87" s="42"/>
      <c r="H87" s="42"/>
      <c r="I87" s="43"/>
      <c r="J87" s="42"/>
      <c r="K87" s="42"/>
      <c r="L87" s="42"/>
      <c r="M87" s="42"/>
      <c r="R87" s="43"/>
      <c r="S87" s="43"/>
    </row>
    <row r="88" spans="3:19">
      <c r="C88" s="43"/>
      <c r="D88" s="42"/>
      <c r="E88" s="42"/>
      <c r="F88" s="43"/>
      <c r="G88" s="42"/>
      <c r="H88" s="42"/>
      <c r="I88" s="43"/>
      <c r="J88" s="42"/>
      <c r="K88" s="42"/>
      <c r="L88" s="42"/>
      <c r="M88" s="42"/>
      <c r="R88" s="43"/>
      <c r="S88" s="43"/>
    </row>
    <row r="89" spans="3:19">
      <c r="C89" s="43"/>
      <c r="D89" s="42"/>
      <c r="E89" s="42"/>
      <c r="F89" s="43"/>
      <c r="G89" s="42"/>
      <c r="H89" s="42"/>
      <c r="I89" s="43"/>
      <c r="J89" s="42"/>
      <c r="K89" s="42"/>
      <c r="L89" s="42"/>
      <c r="M89" s="42"/>
      <c r="R89" s="43"/>
      <c r="S89" s="43"/>
    </row>
    <row r="90" spans="3:19">
      <c r="C90" s="43"/>
      <c r="D90" s="42"/>
      <c r="E90" s="42"/>
      <c r="F90" s="43"/>
      <c r="G90" s="42"/>
      <c r="H90" s="42"/>
      <c r="I90" s="43"/>
      <c r="J90" s="42"/>
      <c r="K90" s="42"/>
      <c r="L90" s="42"/>
      <c r="M90" s="42"/>
      <c r="R90" s="43"/>
      <c r="S90" s="43"/>
    </row>
    <row r="91" spans="3:19">
      <c r="C91" s="43"/>
      <c r="D91" s="42"/>
      <c r="E91" s="42"/>
      <c r="F91" s="43"/>
      <c r="G91" s="42"/>
      <c r="H91" s="42"/>
      <c r="I91" s="43"/>
      <c r="J91" s="42"/>
      <c r="K91" s="42"/>
      <c r="L91" s="42"/>
      <c r="M91" s="42"/>
      <c r="R91" s="43"/>
      <c r="S91" s="43"/>
    </row>
    <row r="92" spans="3:19">
      <c r="C92" s="43"/>
      <c r="D92" s="42"/>
      <c r="E92" s="42"/>
      <c r="F92" s="43"/>
      <c r="G92" s="42"/>
      <c r="H92" s="42"/>
      <c r="I92" s="43"/>
      <c r="J92" s="42"/>
      <c r="K92" s="42"/>
      <c r="L92" s="42"/>
      <c r="M92" s="42"/>
      <c r="R92" s="43"/>
      <c r="S92" s="43"/>
    </row>
    <row r="93" spans="3:19">
      <c r="C93" s="43"/>
      <c r="D93" s="42"/>
      <c r="E93" s="42"/>
      <c r="F93" s="43"/>
      <c r="G93" s="42"/>
      <c r="H93" s="42"/>
      <c r="I93" s="43"/>
      <c r="J93" s="42"/>
      <c r="K93" s="42"/>
      <c r="L93" s="42"/>
      <c r="M93" s="42"/>
      <c r="R93" s="43"/>
      <c r="S93" s="43"/>
    </row>
    <row r="94" spans="3:19">
      <c r="C94" s="43"/>
      <c r="D94" s="42"/>
      <c r="E94" s="42"/>
      <c r="F94" s="43"/>
      <c r="G94" s="42"/>
      <c r="H94" s="42"/>
      <c r="I94" s="43"/>
      <c r="J94" s="42"/>
      <c r="K94" s="42"/>
      <c r="L94" s="42"/>
      <c r="M94" s="42"/>
      <c r="R94" s="43"/>
      <c r="S94" s="43"/>
    </row>
    <row r="95" spans="3:19">
      <c r="C95" s="43"/>
      <c r="D95" s="42"/>
      <c r="E95" s="42"/>
      <c r="F95" s="43"/>
      <c r="G95" s="42"/>
      <c r="H95" s="42"/>
      <c r="I95" s="43"/>
      <c r="J95" s="42"/>
      <c r="K95" s="42"/>
      <c r="L95" s="42"/>
      <c r="M95" s="42"/>
      <c r="R95" s="43"/>
      <c r="S95" s="43"/>
    </row>
    <row r="96" spans="3:19">
      <c r="C96" s="43"/>
      <c r="D96" s="42"/>
      <c r="E96" s="42"/>
      <c r="F96" s="43"/>
      <c r="G96" s="42"/>
      <c r="H96" s="42"/>
      <c r="I96" s="43"/>
      <c r="J96" s="42"/>
      <c r="K96" s="42"/>
      <c r="L96" s="42"/>
      <c r="M96" s="42"/>
      <c r="R96" s="43"/>
      <c r="S96" s="43"/>
    </row>
    <row r="97" spans="3:19">
      <c r="C97" s="43"/>
      <c r="D97" s="42"/>
      <c r="E97" s="42"/>
      <c r="F97" s="43"/>
      <c r="G97" s="42"/>
      <c r="H97" s="42"/>
      <c r="I97" s="43"/>
      <c r="J97" s="42"/>
      <c r="K97" s="42"/>
      <c r="L97" s="42"/>
      <c r="M97" s="42"/>
      <c r="R97" s="43"/>
      <c r="S97" s="43"/>
    </row>
    <row r="98" spans="3:19">
      <c r="C98" s="43"/>
      <c r="D98" s="42"/>
      <c r="E98" s="42"/>
      <c r="F98" s="43"/>
      <c r="G98" s="42"/>
      <c r="H98" s="42"/>
      <c r="I98" s="43"/>
      <c r="J98" s="42"/>
      <c r="K98" s="42"/>
      <c r="L98" s="42"/>
      <c r="M98" s="42"/>
      <c r="R98" s="43"/>
      <c r="S98" s="43"/>
    </row>
    <row r="99" spans="3:19">
      <c r="C99" s="43"/>
      <c r="D99" s="42"/>
      <c r="E99" s="42"/>
      <c r="F99" s="43"/>
      <c r="G99" s="42"/>
      <c r="H99" s="42"/>
      <c r="I99" s="43"/>
      <c r="J99" s="42"/>
      <c r="K99" s="42"/>
      <c r="L99" s="42"/>
      <c r="M99" s="42"/>
      <c r="R99" s="43"/>
      <c r="S99" s="43"/>
    </row>
    <row r="100" spans="3:19">
      <c r="C100" s="43"/>
      <c r="D100" s="42"/>
      <c r="E100" s="42"/>
      <c r="F100" s="43"/>
      <c r="G100" s="42"/>
      <c r="H100" s="42"/>
      <c r="I100" s="43"/>
      <c r="J100" s="42"/>
      <c r="K100" s="42"/>
      <c r="L100" s="42"/>
      <c r="M100" s="42"/>
      <c r="R100" s="43"/>
      <c r="S100" s="43"/>
    </row>
    <row r="101" spans="3:19">
      <c r="C101" s="43"/>
      <c r="D101" s="42"/>
      <c r="E101" s="42"/>
      <c r="F101" s="43"/>
      <c r="G101" s="42"/>
      <c r="H101" s="42"/>
      <c r="I101" s="43"/>
      <c r="J101" s="42"/>
      <c r="K101" s="42"/>
      <c r="L101" s="42"/>
      <c r="M101" s="42"/>
      <c r="R101" s="43"/>
      <c r="S101" s="43"/>
    </row>
    <row r="102" spans="3:19">
      <c r="C102" s="43"/>
      <c r="D102" s="42"/>
      <c r="E102" s="42"/>
      <c r="F102" s="43"/>
      <c r="G102" s="42"/>
      <c r="H102" s="42"/>
      <c r="I102" s="43"/>
      <c r="J102" s="42"/>
      <c r="K102" s="42"/>
      <c r="L102" s="42"/>
      <c r="M102" s="42"/>
      <c r="R102" s="43"/>
      <c r="S102" s="43"/>
    </row>
    <row r="103" spans="3:19">
      <c r="C103" s="43"/>
      <c r="D103" s="42"/>
      <c r="E103" s="42"/>
      <c r="F103" s="43"/>
      <c r="G103" s="42"/>
      <c r="H103" s="42"/>
      <c r="I103" s="43"/>
      <c r="J103" s="42"/>
      <c r="K103" s="42"/>
      <c r="L103" s="42"/>
      <c r="M103" s="42"/>
      <c r="R103" s="43"/>
      <c r="S103" s="43"/>
    </row>
    <row r="104" spans="3:19">
      <c r="C104" s="43"/>
      <c r="D104" s="42"/>
      <c r="E104" s="42"/>
      <c r="F104" s="43"/>
      <c r="G104" s="42"/>
      <c r="H104" s="42"/>
      <c r="I104" s="43"/>
      <c r="J104" s="42"/>
      <c r="K104" s="42"/>
      <c r="L104" s="42"/>
      <c r="M104" s="42"/>
      <c r="R104" s="43"/>
      <c r="S104" s="43"/>
    </row>
    <row r="105" spans="3:19">
      <c r="C105" s="43"/>
      <c r="D105" s="42"/>
      <c r="E105" s="42"/>
      <c r="F105" s="43"/>
      <c r="G105" s="42"/>
      <c r="H105" s="42"/>
      <c r="I105" s="43"/>
      <c r="J105" s="42"/>
      <c r="K105" s="42"/>
      <c r="L105" s="42"/>
      <c r="M105" s="42"/>
      <c r="R105" s="43"/>
      <c r="S105" s="43"/>
    </row>
    <row r="106" spans="3:19">
      <c r="C106" s="43"/>
      <c r="D106" s="42"/>
      <c r="E106" s="42"/>
      <c r="F106" s="43"/>
      <c r="G106" s="42"/>
      <c r="H106" s="42"/>
      <c r="I106" s="43"/>
      <c r="J106" s="42"/>
      <c r="K106" s="42"/>
      <c r="L106" s="42"/>
      <c r="M106" s="42"/>
      <c r="R106" s="43"/>
      <c r="S106" s="43"/>
    </row>
    <row r="107" spans="3:19">
      <c r="C107" s="43"/>
      <c r="D107" s="42"/>
      <c r="E107" s="42"/>
      <c r="F107" s="43"/>
      <c r="G107" s="42"/>
      <c r="H107" s="42"/>
      <c r="I107" s="43"/>
      <c r="J107" s="42"/>
      <c r="K107" s="42"/>
      <c r="L107" s="42"/>
      <c r="M107" s="42"/>
      <c r="R107" s="43"/>
      <c r="S107" s="43"/>
    </row>
    <row r="108" spans="3:19">
      <c r="C108" s="43"/>
      <c r="D108" s="42"/>
      <c r="E108" s="42"/>
      <c r="F108" s="43"/>
      <c r="G108" s="42"/>
      <c r="H108" s="42"/>
      <c r="I108" s="43"/>
      <c r="J108" s="42"/>
      <c r="K108" s="42"/>
      <c r="L108" s="42"/>
      <c r="M108" s="42"/>
      <c r="R108" s="43"/>
      <c r="S108" s="43"/>
    </row>
    <row r="109" spans="3:19">
      <c r="C109" s="43"/>
      <c r="D109" s="42"/>
      <c r="E109" s="42"/>
      <c r="F109" s="43"/>
      <c r="G109" s="42"/>
      <c r="H109" s="42"/>
      <c r="I109" s="43"/>
      <c r="J109" s="42"/>
      <c r="K109" s="42"/>
      <c r="L109" s="42"/>
      <c r="M109" s="42"/>
      <c r="R109" s="43"/>
      <c r="S109" s="43"/>
    </row>
    <row r="110" spans="3:19">
      <c r="C110" s="43"/>
      <c r="D110" s="42"/>
      <c r="E110" s="42"/>
      <c r="F110" s="43"/>
      <c r="G110" s="42"/>
      <c r="H110" s="42"/>
      <c r="I110" s="43"/>
      <c r="J110" s="42"/>
      <c r="K110" s="42"/>
      <c r="L110" s="42"/>
      <c r="M110" s="42"/>
      <c r="R110" s="43"/>
      <c r="S110" s="43"/>
    </row>
    <row r="111" spans="3:19">
      <c r="C111" s="43"/>
      <c r="D111" s="42"/>
      <c r="E111" s="42"/>
      <c r="F111" s="43"/>
      <c r="G111" s="42"/>
      <c r="H111" s="42"/>
      <c r="I111" s="43"/>
      <c r="J111" s="42"/>
      <c r="K111" s="42"/>
      <c r="L111" s="42"/>
      <c r="M111" s="42"/>
      <c r="R111" s="43"/>
      <c r="S111" s="43"/>
    </row>
    <row r="112" spans="3:19">
      <c r="C112" s="43"/>
      <c r="D112" s="42"/>
      <c r="E112" s="42"/>
      <c r="F112" s="43"/>
      <c r="G112" s="42"/>
      <c r="H112" s="42"/>
      <c r="I112" s="43"/>
      <c r="J112" s="42"/>
      <c r="K112" s="42"/>
      <c r="L112" s="42"/>
      <c r="M112" s="42"/>
      <c r="R112" s="43"/>
      <c r="S112" s="43"/>
    </row>
    <row r="113" spans="3:19">
      <c r="C113" s="43"/>
      <c r="D113" s="42"/>
      <c r="E113" s="42"/>
      <c r="F113" s="43"/>
      <c r="G113" s="42"/>
      <c r="H113" s="42"/>
      <c r="I113" s="43"/>
      <c r="J113" s="42"/>
      <c r="K113" s="42"/>
      <c r="L113" s="42"/>
      <c r="M113" s="42"/>
      <c r="R113" s="43"/>
      <c r="S113" s="43"/>
    </row>
    <row r="114" spans="3:19">
      <c r="C114" s="43"/>
      <c r="D114" s="42"/>
      <c r="E114" s="42"/>
      <c r="F114" s="43"/>
      <c r="G114" s="42"/>
      <c r="H114" s="42"/>
      <c r="I114" s="43"/>
      <c r="J114" s="42"/>
      <c r="K114" s="42"/>
      <c r="L114" s="42"/>
      <c r="M114" s="42"/>
      <c r="R114" s="43"/>
      <c r="S114" s="43"/>
    </row>
    <row r="115" spans="3:19">
      <c r="C115" s="43"/>
      <c r="D115" s="42"/>
      <c r="E115" s="42"/>
      <c r="F115" s="43"/>
      <c r="G115" s="42"/>
      <c r="H115" s="42"/>
      <c r="I115" s="43"/>
      <c r="J115" s="42"/>
      <c r="K115" s="42"/>
      <c r="L115" s="42"/>
      <c r="M115" s="42"/>
      <c r="R115" s="43"/>
      <c r="S115" s="43"/>
    </row>
    <row r="116" spans="3:19">
      <c r="C116" s="43"/>
      <c r="D116" s="42"/>
      <c r="E116" s="42"/>
      <c r="F116" s="43"/>
      <c r="G116" s="42"/>
      <c r="H116" s="42"/>
      <c r="I116" s="43"/>
      <c r="J116" s="42"/>
      <c r="K116" s="42"/>
      <c r="L116" s="42"/>
      <c r="M116" s="42"/>
      <c r="R116" s="43"/>
      <c r="S116" s="43"/>
    </row>
    <row r="117" spans="3:19">
      <c r="C117" s="43"/>
      <c r="D117" s="42"/>
      <c r="E117" s="42"/>
      <c r="F117" s="43"/>
      <c r="G117" s="42"/>
      <c r="H117" s="42"/>
      <c r="I117" s="43"/>
      <c r="J117" s="42"/>
      <c r="K117" s="42"/>
      <c r="L117" s="42"/>
      <c r="M117" s="42"/>
      <c r="R117" s="43"/>
      <c r="S117" s="43"/>
    </row>
    <row r="118" spans="3:19">
      <c r="C118" s="43"/>
      <c r="D118" s="42"/>
      <c r="E118" s="42"/>
      <c r="F118" s="43"/>
      <c r="G118" s="42"/>
      <c r="H118" s="42"/>
      <c r="I118" s="43"/>
      <c r="J118" s="42"/>
      <c r="K118" s="42"/>
      <c r="L118" s="42"/>
      <c r="M118" s="42"/>
      <c r="R118" s="43"/>
      <c r="S118" s="43"/>
    </row>
    <row r="119" spans="3:19">
      <c r="C119" s="43"/>
      <c r="D119" s="42"/>
      <c r="E119" s="42"/>
      <c r="F119" s="43"/>
      <c r="G119" s="42"/>
      <c r="H119" s="42"/>
      <c r="I119" s="43"/>
      <c r="J119" s="42"/>
      <c r="K119" s="42"/>
      <c r="L119" s="42"/>
      <c r="M119" s="42"/>
      <c r="R119" s="43"/>
      <c r="S119" s="43"/>
    </row>
    <row r="120" spans="3:19">
      <c r="C120" s="43"/>
      <c r="D120" s="42"/>
      <c r="E120" s="42"/>
      <c r="F120" s="43"/>
      <c r="G120" s="42"/>
      <c r="H120" s="42"/>
      <c r="I120" s="43"/>
      <c r="J120" s="42"/>
      <c r="K120" s="42"/>
      <c r="L120" s="42"/>
      <c r="M120" s="42"/>
      <c r="R120" s="43"/>
      <c r="S120" s="43"/>
    </row>
    <row r="121" spans="3:19">
      <c r="C121" s="43"/>
      <c r="D121" s="42"/>
      <c r="E121" s="42"/>
      <c r="F121" s="43"/>
      <c r="G121" s="42"/>
      <c r="H121" s="42"/>
      <c r="I121" s="43"/>
      <c r="J121" s="42"/>
      <c r="K121" s="42"/>
      <c r="L121" s="42"/>
      <c r="M121" s="42"/>
      <c r="R121" s="43"/>
      <c r="S121" s="43"/>
    </row>
    <row r="122" spans="3:19">
      <c r="C122" s="43"/>
      <c r="D122" s="42"/>
      <c r="E122" s="42"/>
      <c r="F122" s="43"/>
      <c r="G122" s="42"/>
      <c r="H122" s="42"/>
      <c r="I122" s="43"/>
      <c r="J122" s="42"/>
      <c r="K122" s="42"/>
      <c r="L122" s="42"/>
      <c r="M122" s="42"/>
      <c r="R122" s="43"/>
      <c r="S122" s="43"/>
    </row>
    <row r="123" spans="3:19">
      <c r="C123" s="43"/>
      <c r="D123" s="42"/>
      <c r="E123" s="42"/>
      <c r="F123" s="43"/>
      <c r="G123" s="42"/>
      <c r="H123" s="42"/>
      <c r="I123" s="43"/>
      <c r="J123" s="42"/>
      <c r="K123" s="42"/>
      <c r="L123" s="42"/>
      <c r="M123" s="42"/>
      <c r="R123" s="43"/>
      <c r="S123" s="43"/>
    </row>
    <row r="124" spans="3:19">
      <c r="C124" s="43"/>
      <c r="D124" s="42"/>
      <c r="E124" s="42"/>
      <c r="F124" s="43"/>
      <c r="G124" s="42"/>
      <c r="H124" s="42"/>
      <c r="I124" s="43"/>
      <c r="J124" s="42"/>
      <c r="K124" s="42"/>
      <c r="L124" s="42"/>
      <c r="M124" s="42"/>
      <c r="R124" s="43"/>
      <c r="S124" s="43"/>
    </row>
    <row r="125" spans="3:19">
      <c r="C125" s="43"/>
      <c r="D125" s="42"/>
      <c r="E125" s="42"/>
      <c r="F125" s="43"/>
      <c r="G125" s="42"/>
      <c r="H125" s="42"/>
      <c r="I125" s="43"/>
      <c r="J125" s="42"/>
      <c r="K125" s="42"/>
      <c r="L125" s="42"/>
      <c r="M125" s="42"/>
      <c r="R125" s="43"/>
      <c r="S125" s="43"/>
    </row>
    <row r="126" spans="3:19">
      <c r="C126" s="43"/>
      <c r="D126" s="42"/>
      <c r="E126" s="42"/>
      <c r="F126" s="43"/>
      <c r="G126" s="42"/>
      <c r="H126" s="42"/>
      <c r="I126" s="43"/>
      <c r="J126" s="42"/>
      <c r="K126" s="42"/>
      <c r="L126" s="42"/>
      <c r="M126" s="42"/>
      <c r="R126" s="43"/>
      <c r="S126" s="43"/>
    </row>
    <row r="127" spans="3:19">
      <c r="C127" s="43"/>
      <c r="D127" s="42"/>
      <c r="E127" s="42"/>
      <c r="F127" s="43"/>
      <c r="G127" s="42"/>
      <c r="H127" s="42"/>
      <c r="I127" s="43"/>
      <c r="J127" s="42"/>
      <c r="K127" s="42"/>
      <c r="L127" s="42"/>
      <c r="M127" s="42"/>
      <c r="R127" s="43"/>
      <c r="S127" s="43"/>
    </row>
    <row r="128" spans="3:19">
      <c r="C128" s="43"/>
      <c r="D128" s="42"/>
      <c r="E128" s="42"/>
      <c r="F128" s="43"/>
      <c r="G128" s="42"/>
      <c r="H128" s="42"/>
      <c r="I128" s="43"/>
      <c r="J128" s="42"/>
      <c r="K128" s="42"/>
      <c r="L128" s="42"/>
      <c r="M128" s="42"/>
      <c r="R128" s="43"/>
      <c r="S128" s="43"/>
    </row>
    <row r="129" spans="3:19">
      <c r="C129" s="43"/>
      <c r="D129" s="42"/>
      <c r="E129" s="42"/>
      <c r="F129" s="43"/>
      <c r="G129" s="42"/>
      <c r="H129" s="42"/>
      <c r="I129" s="43"/>
      <c r="J129" s="42"/>
      <c r="K129" s="42"/>
      <c r="L129" s="42"/>
      <c r="M129" s="42"/>
      <c r="R129" s="43"/>
      <c r="S129" s="43"/>
    </row>
    <row r="130" spans="3:19">
      <c r="C130" s="43"/>
      <c r="D130" s="42"/>
      <c r="E130" s="42"/>
      <c r="F130" s="43"/>
      <c r="G130" s="42"/>
      <c r="H130" s="42"/>
      <c r="I130" s="43"/>
      <c r="J130" s="42"/>
      <c r="K130" s="42"/>
      <c r="L130" s="42"/>
      <c r="M130" s="42"/>
      <c r="R130" s="43"/>
      <c r="S130" s="43"/>
    </row>
    <row r="131" spans="3:19">
      <c r="C131" s="43"/>
      <c r="D131" s="42"/>
      <c r="E131" s="42"/>
      <c r="F131" s="43"/>
      <c r="G131" s="42"/>
      <c r="H131" s="42"/>
      <c r="I131" s="43"/>
      <c r="J131" s="42"/>
      <c r="K131" s="42"/>
      <c r="L131" s="42"/>
      <c r="M131" s="42"/>
      <c r="R131" s="43"/>
      <c r="S131" s="43"/>
    </row>
    <row r="132" spans="3:19">
      <c r="C132" s="43"/>
      <c r="D132" s="42"/>
      <c r="E132" s="42"/>
      <c r="F132" s="43"/>
      <c r="G132" s="42"/>
      <c r="H132" s="42"/>
      <c r="I132" s="43"/>
      <c r="J132" s="42"/>
      <c r="K132" s="42"/>
      <c r="L132" s="42"/>
      <c r="M132" s="42"/>
      <c r="R132" s="43"/>
      <c r="S132" s="43"/>
    </row>
    <row r="133" spans="3:19">
      <c r="C133" s="43"/>
      <c r="D133" s="42"/>
      <c r="E133" s="42"/>
      <c r="F133" s="43"/>
      <c r="G133" s="42"/>
      <c r="H133" s="42"/>
      <c r="I133" s="43"/>
      <c r="J133" s="42"/>
      <c r="K133" s="42"/>
      <c r="L133" s="42"/>
      <c r="M133" s="42"/>
      <c r="R133" s="43"/>
      <c r="S133" s="43"/>
    </row>
    <row r="134" spans="3:19">
      <c r="C134" s="43"/>
      <c r="D134" s="42"/>
      <c r="E134" s="42"/>
      <c r="F134" s="43"/>
      <c r="G134" s="42"/>
      <c r="H134" s="42"/>
      <c r="I134" s="43"/>
      <c r="J134" s="42"/>
      <c r="K134" s="42"/>
      <c r="L134" s="42"/>
      <c r="M134" s="42"/>
      <c r="R134" s="43"/>
      <c r="S134" s="43"/>
    </row>
    <row r="135" spans="3:19">
      <c r="C135" s="43"/>
      <c r="D135" s="42"/>
      <c r="E135" s="42"/>
      <c r="F135" s="43"/>
      <c r="G135" s="42"/>
      <c r="H135" s="42"/>
      <c r="I135" s="43"/>
      <c r="J135" s="42"/>
      <c r="K135" s="42"/>
      <c r="L135" s="42"/>
      <c r="M135" s="42"/>
      <c r="R135" s="43"/>
      <c r="S135" s="43"/>
    </row>
    <row r="136" spans="3:19">
      <c r="C136" s="43"/>
      <c r="D136" s="42"/>
      <c r="E136" s="42"/>
      <c r="F136" s="43"/>
      <c r="G136" s="42"/>
      <c r="H136" s="42"/>
      <c r="I136" s="43"/>
      <c r="J136" s="42"/>
      <c r="K136" s="42"/>
      <c r="L136" s="42"/>
      <c r="M136" s="42"/>
      <c r="R136" s="43"/>
      <c r="S136" s="43"/>
    </row>
    <row r="137" spans="3:19">
      <c r="C137" s="43"/>
      <c r="D137" s="42"/>
      <c r="E137" s="42"/>
      <c r="F137" s="43"/>
      <c r="G137" s="42"/>
      <c r="H137" s="42"/>
      <c r="I137" s="43"/>
      <c r="J137" s="42"/>
      <c r="K137" s="42"/>
      <c r="L137" s="42"/>
      <c r="M137" s="42"/>
      <c r="R137" s="43"/>
      <c r="S137" s="43"/>
    </row>
    <row r="138" spans="3:19">
      <c r="C138" s="43"/>
      <c r="D138" s="42"/>
      <c r="E138" s="42"/>
      <c r="F138" s="43"/>
      <c r="G138" s="42"/>
      <c r="H138" s="42"/>
      <c r="I138" s="43"/>
      <c r="J138" s="42"/>
      <c r="K138" s="42"/>
      <c r="L138" s="42"/>
      <c r="M138" s="42"/>
      <c r="R138" s="43"/>
      <c r="S138" s="43"/>
    </row>
    <row r="139" spans="3:19">
      <c r="C139" s="43"/>
      <c r="D139" s="42"/>
      <c r="E139" s="42"/>
      <c r="F139" s="43"/>
      <c r="G139" s="42"/>
      <c r="H139" s="42"/>
      <c r="I139" s="43"/>
      <c r="J139" s="42"/>
      <c r="K139" s="42"/>
      <c r="L139" s="42"/>
      <c r="M139" s="42"/>
      <c r="R139" s="43"/>
      <c r="S139" s="43"/>
    </row>
    <row r="140" spans="3:19">
      <c r="C140" s="43"/>
      <c r="D140" s="42"/>
      <c r="E140" s="42"/>
      <c r="F140" s="43"/>
      <c r="G140" s="42"/>
      <c r="H140" s="42"/>
      <c r="I140" s="43"/>
      <c r="J140" s="42"/>
      <c r="K140" s="42"/>
      <c r="L140" s="42"/>
      <c r="M140" s="42"/>
      <c r="R140" s="43"/>
      <c r="S140" s="43"/>
    </row>
    <row r="141" spans="3:19">
      <c r="C141" s="43"/>
      <c r="D141" s="42"/>
      <c r="E141" s="42"/>
      <c r="F141" s="43"/>
      <c r="G141" s="42"/>
      <c r="H141" s="42"/>
      <c r="I141" s="43"/>
      <c r="J141" s="42"/>
      <c r="K141" s="42"/>
      <c r="L141" s="42"/>
      <c r="M141" s="42"/>
      <c r="R141" s="43"/>
      <c r="S141" s="43"/>
    </row>
    <row r="142" spans="3:19">
      <c r="C142" s="43"/>
      <c r="D142" s="42"/>
      <c r="E142" s="42"/>
      <c r="F142" s="43"/>
      <c r="G142" s="42"/>
      <c r="H142" s="42"/>
      <c r="I142" s="43"/>
      <c r="J142" s="42"/>
      <c r="K142" s="42"/>
      <c r="L142" s="42"/>
      <c r="M142" s="42"/>
      <c r="R142" s="43"/>
      <c r="S142" s="43"/>
    </row>
    <row r="143" spans="3:19">
      <c r="C143" s="43"/>
      <c r="D143" s="42"/>
      <c r="E143" s="42"/>
      <c r="F143" s="43"/>
      <c r="G143" s="42"/>
      <c r="H143" s="42"/>
      <c r="I143" s="43"/>
      <c r="J143" s="42"/>
      <c r="K143" s="42"/>
      <c r="L143" s="42"/>
      <c r="M143" s="42"/>
      <c r="R143" s="43"/>
      <c r="S143" s="43"/>
    </row>
    <row r="144" spans="3:19">
      <c r="C144" s="43"/>
      <c r="D144" s="42"/>
      <c r="E144" s="42"/>
      <c r="F144" s="43"/>
      <c r="G144" s="42"/>
      <c r="H144" s="42"/>
      <c r="I144" s="43"/>
      <c r="J144" s="42"/>
      <c r="K144" s="42"/>
      <c r="L144" s="42"/>
      <c r="M144" s="42"/>
      <c r="R144" s="43"/>
      <c r="S144" s="43"/>
    </row>
    <row r="145" spans="3:19">
      <c r="C145" s="43"/>
      <c r="D145" s="42"/>
      <c r="E145" s="42"/>
      <c r="F145" s="43"/>
      <c r="G145" s="42"/>
      <c r="H145" s="42"/>
      <c r="I145" s="43"/>
      <c r="J145" s="42"/>
      <c r="K145" s="42"/>
      <c r="L145" s="42"/>
      <c r="M145" s="42"/>
      <c r="R145" s="43"/>
      <c r="S145" s="43"/>
    </row>
    <row r="146" spans="3:19">
      <c r="C146" s="43"/>
      <c r="D146" s="42"/>
      <c r="E146" s="42"/>
      <c r="F146" s="43"/>
      <c r="G146" s="42"/>
      <c r="H146" s="42"/>
      <c r="I146" s="43"/>
      <c r="J146" s="42"/>
      <c r="K146" s="42"/>
      <c r="L146" s="42"/>
      <c r="M146" s="42"/>
      <c r="R146" s="43"/>
      <c r="S146" s="43"/>
    </row>
    <row r="147" spans="3:19">
      <c r="C147" s="43"/>
      <c r="D147" s="42"/>
      <c r="E147" s="42"/>
      <c r="F147" s="43"/>
      <c r="G147" s="42"/>
      <c r="H147" s="42"/>
      <c r="I147" s="43"/>
      <c r="J147" s="42"/>
      <c r="K147" s="42"/>
      <c r="L147" s="42"/>
      <c r="M147" s="42"/>
      <c r="R147" s="43"/>
      <c r="S147" s="43"/>
    </row>
    <row r="148" spans="3:19">
      <c r="C148" s="43"/>
      <c r="D148" s="42"/>
      <c r="E148" s="42"/>
      <c r="F148" s="43"/>
      <c r="G148" s="42"/>
      <c r="H148" s="42"/>
      <c r="I148" s="43"/>
      <c r="J148" s="42"/>
      <c r="K148" s="42"/>
      <c r="L148" s="42"/>
      <c r="M148" s="42"/>
      <c r="R148" s="43"/>
      <c r="S148" s="43"/>
    </row>
    <row r="149" spans="3:19">
      <c r="C149" s="43"/>
      <c r="D149" s="42"/>
      <c r="E149" s="42"/>
      <c r="F149" s="43"/>
      <c r="G149" s="42"/>
      <c r="H149" s="42"/>
      <c r="I149" s="43"/>
      <c r="J149" s="42"/>
      <c r="K149" s="42"/>
      <c r="L149" s="42"/>
      <c r="M149" s="42"/>
      <c r="R149" s="43"/>
      <c r="S149" s="43"/>
    </row>
    <row r="150" spans="3:19">
      <c r="C150" s="43"/>
      <c r="D150" s="42"/>
      <c r="E150" s="42"/>
      <c r="F150" s="43"/>
      <c r="G150" s="42"/>
      <c r="H150" s="42"/>
      <c r="I150" s="43"/>
      <c r="J150" s="42"/>
      <c r="K150" s="42"/>
      <c r="L150" s="42"/>
      <c r="M150" s="42"/>
      <c r="R150" s="43"/>
      <c r="S150" s="43"/>
    </row>
    <row r="151" spans="3:19">
      <c r="C151" s="43"/>
      <c r="D151" s="42"/>
      <c r="E151" s="42"/>
      <c r="F151" s="43"/>
      <c r="G151" s="42"/>
      <c r="H151" s="42"/>
      <c r="I151" s="43"/>
      <c r="J151" s="42"/>
      <c r="K151" s="42"/>
      <c r="L151" s="42"/>
      <c r="M151" s="42"/>
      <c r="R151" s="43"/>
      <c r="S151" s="43"/>
    </row>
    <row r="152" spans="3:19">
      <c r="C152" s="43"/>
      <c r="D152" s="42"/>
      <c r="E152" s="42"/>
      <c r="F152" s="43"/>
      <c r="G152" s="42"/>
      <c r="H152" s="42"/>
      <c r="I152" s="43"/>
      <c r="J152" s="42"/>
      <c r="K152" s="42"/>
      <c r="L152" s="42"/>
      <c r="M152" s="42"/>
      <c r="R152" s="43"/>
      <c r="S152" s="43"/>
    </row>
    <row r="153" spans="3:19">
      <c r="C153" s="43"/>
      <c r="D153" s="42"/>
      <c r="E153" s="42"/>
      <c r="F153" s="43"/>
      <c r="G153" s="42"/>
      <c r="H153" s="42"/>
      <c r="I153" s="43"/>
      <c r="J153" s="42"/>
      <c r="K153" s="42"/>
      <c r="L153" s="42"/>
      <c r="M153" s="42"/>
      <c r="R153" s="43"/>
      <c r="S153" s="43"/>
    </row>
    <row r="154" spans="3:19">
      <c r="C154" s="43"/>
      <c r="D154" s="42"/>
      <c r="E154" s="42"/>
      <c r="F154" s="43"/>
      <c r="G154" s="42"/>
      <c r="H154" s="42"/>
      <c r="I154" s="43"/>
      <c r="J154" s="42"/>
      <c r="K154" s="42"/>
      <c r="L154" s="42"/>
      <c r="M154" s="42"/>
      <c r="R154" s="43"/>
      <c r="S154" s="43"/>
    </row>
    <row r="155" spans="3:19">
      <c r="C155" s="43"/>
      <c r="D155" s="42"/>
      <c r="E155" s="42"/>
      <c r="F155" s="43"/>
      <c r="G155" s="42"/>
      <c r="H155" s="42"/>
      <c r="I155" s="43"/>
      <c r="J155" s="42"/>
      <c r="K155" s="42"/>
      <c r="L155" s="42"/>
      <c r="M155" s="42"/>
      <c r="R155" s="43"/>
      <c r="S155" s="43"/>
    </row>
    <row r="156" spans="3:19">
      <c r="C156" s="43"/>
      <c r="D156" s="42"/>
      <c r="E156" s="42"/>
      <c r="F156" s="43"/>
      <c r="G156" s="42"/>
      <c r="H156" s="42"/>
      <c r="I156" s="43"/>
      <c r="J156" s="42"/>
      <c r="K156" s="42"/>
      <c r="L156" s="42"/>
      <c r="M156" s="42"/>
      <c r="R156" s="43"/>
      <c r="S156" s="43"/>
    </row>
    <row r="157" spans="3:19">
      <c r="C157" s="43"/>
      <c r="D157" s="42"/>
      <c r="E157" s="42"/>
      <c r="F157" s="43"/>
      <c r="G157" s="42"/>
      <c r="H157" s="42"/>
      <c r="I157" s="43"/>
      <c r="J157" s="42"/>
      <c r="K157" s="42"/>
      <c r="L157" s="42"/>
      <c r="M157" s="42"/>
      <c r="R157" s="43"/>
      <c r="S157" s="43"/>
    </row>
    <row r="158" spans="3:19">
      <c r="C158" s="43"/>
      <c r="D158" s="42"/>
      <c r="E158" s="42"/>
      <c r="F158" s="43"/>
      <c r="G158" s="42"/>
      <c r="H158" s="42"/>
      <c r="I158" s="43"/>
      <c r="J158" s="42"/>
      <c r="K158" s="42"/>
      <c r="L158" s="42"/>
      <c r="M158" s="42"/>
      <c r="R158" s="43"/>
      <c r="S158" s="43"/>
    </row>
    <row r="159" spans="3:19">
      <c r="C159" s="43"/>
      <c r="D159" s="42"/>
      <c r="E159" s="42"/>
      <c r="F159" s="43"/>
      <c r="G159" s="42"/>
      <c r="H159" s="42"/>
      <c r="I159" s="43"/>
      <c r="J159" s="42"/>
      <c r="K159" s="42"/>
      <c r="L159" s="42"/>
      <c r="M159" s="42"/>
      <c r="R159" s="43"/>
      <c r="S159" s="43"/>
    </row>
  </sheetData>
  <mergeCells count="1">
    <mergeCell ref="C2:N2"/>
  </mergeCells>
  <hyperlinks>
    <hyperlink ref="M5" r:id="rId1" xr:uid="{00000000-0004-0000-0F00-000000000000}"/>
    <hyperlink ref="K5" r:id="rId2" xr:uid="{00000000-0004-0000-0F00-000001000000}"/>
  </hyperlinks>
  <pageMargins left="0.7" right="0.7" top="0.75" bottom="0.75" header="0.3" footer="0.3"/>
  <pageSetup paperSize="9" orientation="portrait"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9">
    <tabColor theme="9" tint="-0.499984740745262"/>
  </sheetPr>
  <dimension ref="A1:S159"/>
  <sheetViews>
    <sheetView workbookViewId="0"/>
  </sheetViews>
  <sheetFormatPr baseColWidth="10" defaultColWidth="10.54296875" defaultRowHeight="14.5"/>
  <cols>
    <col min="1" max="1" width="16.54296875" style="8" customWidth="1"/>
    <col min="2" max="2" width="5" style="1" customWidth="1"/>
    <col min="4" max="4" width="13.453125" style="1" customWidth="1"/>
    <col min="5" max="5" width="11.1796875" style="1" customWidth="1"/>
    <col min="6" max="6" width="26.453125" style="1" customWidth="1"/>
    <col min="7" max="7" width="16.453125" style="1" customWidth="1"/>
    <col min="8" max="8" width="12.81640625" style="1" customWidth="1"/>
    <col min="9" max="9" width="10.54296875" style="1"/>
    <col min="10" max="10" width="12.453125" style="1" customWidth="1"/>
    <col min="11" max="11" width="11.54296875" style="1" customWidth="1"/>
    <col min="12" max="12" width="18.81640625" style="1" customWidth="1"/>
    <col min="13" max="13" width="18.54296875" style="1" customWidth="1"/>
    <col min="16" max="16" width="23.453125" style="1" customWidth="1"/>
    <col min="17" max="17" width="10.54296875" style="1"/>
    <col min="18" max="18" width="21.453125" style="1" bestFit="1" customWidth="1"/>
    <col min="20" max="16384" width="10.54296875" style="1"/>
  </cols>
  <sheetData>
    <row r="1" spans="1:19" ht="11.15" customHeight="1">
      <c r="C1" s="1"/>
      <c r="N1" s="1"/>
      <c r="O1" s="1"/>
      <c r="S1" s="1"/>
    </row>
    <row r="2" spans="1:19" ht="20.149999999999999" customHeight="1">
      <c r="C2" s="617" t="s">
        <v>1214</v>
      </c>
      <c r="D2" s="617"/>
      <c r="E2" s="617"/>
      <c r="F2" s="617"/>
      <c r="G2" s="617"/>
      <c r="H2" s="617"/>
      <c r="I2" s="617"/>
      <c r="J2" s="617"/>
      <c r="K2" s="617"/>
      <c r="L2" s="617"/>
      <c r="M2" s="617"/>
      <c r="N2" s="617"/>
      <c r="O2" s="1"/>
      <c r="S2" s="1"/>
    </row>
    <row r="3" spans="1:19">
      <c r="C3" s="1"/>
      <c r="N3" s="1"/>
      <c r="O3" s="1"/>
      <c r="S3" s="1"/>
    </row>
    <row r="4" spans="1:19" ht="87">
      <c r="A4" s="9"/>
      <c r="C4" s="24" t="s">
        <v>18</v>
      </c>
      <c r="D4" s="23" t="s">
        <v>1022</v>
      </c>
      <c r="E4" s="23" t="s">
        <v>20</v>
      </c>
      <c r="F4" s="23" t="s">
        <v>1215</v>
      </c>
      <c r="G4" s="22" t="s">
        <v>22</v>
      </c>
      <c r="H4" s="22" t="s">
        <v>23</v>
      </c>
      <c r="I4" s="23" t="s">
        <v>1023</v>
      </c>
      <c r="J4" s="24" t="s">
        <v>1024</v>
      </c>
      <c r="K4" s="23" t="s">
        <v>25</v>
      </c>
      <c r="L4" s="23" t="s">
        <v>1216</v>
      </c>
      <c r="M4" s="23" t="s">
        <v>1026</v>
      </c>
      <c r="N4" s="23" t="s">
        <v>53</v>
      </c>
      <c r="O4" s="23" t="s">
        <v>1217</v>
      </c>
      <c r="P4" s="23" t="s">
        <v>29</v>
      </c>
      <c r="S4" s="1"/>
    </row>
    <row r="5" spans="1:19" ht="53.15" customHeight="1">
      <c r="C5" s="27" t="s">
        <v>68</v>
      </c>
      <c r="D5" s="26" t="s">
        <v>1218</v>
      </c>
      <c r="E5" s="26" t="s">
        <v>734</v>
      </c>
      <c r="F5" s="27" t="s">
        <v>1219</v>
      </c>
      <c r="G5" s="26" t="s">
        <v>306</v>
      </c>
      <c r="H5" s="26" t="s">
        <v>736</v>
      </c>
      <c r="I5" s="25" t="s">
        <v>1031</v>
      </c>
      <c r="J5" s="25" t="s">
        <v>36</v>
      </c>
      <c r="K5" s="33" t="s">
        <v>737</v>
      </c>
      <c r="L5" s="26" t="s">
        <v>738</v>
      </c>
      <c r="M5" s="33" t="s">
        <v>739</v>
      </c>
      <c r="N5" s="25" t="s">
        <v>1032</v>
      </c>
      <c r="O5" s="27" t="s">
        <v>1220</v>
      </c>
      <c r="P5" s="51" t="s">
        <v>740</v>
      </c>
      <c r="S5" s="1"/>
    </row>
    <row r="6" spans="1:19" ht="58">
      <c r="C6" s="27" t="s">
        <v>42</v>
      </c>
      <c r="D6" s="26" t="s">
        <v>1125</v>
      </c>
      <c r="E6" s="26" t="s">
        <v>772</v>
      </c>
      <c r="F6" s="27" t="s">
        <v>1047</v>
      </c>
      <c r="G6" s="26" t="s">
        <v>306</v>
      </c>
      <c r="H6" s="26" t="s">
        <v>1221</v>
      </c>
      <c r="I6" s="25" t="s">
        <v>1031</v>
      </c>
      <c r="J6" s="25" t="s">
        <v>53</v>
      </c>
      <c r="K6" s="33" t="s">
        <v>1049</v>
      </c>
      <c r="L6" s="26" t="s">
        <v>776</v>
      </c>
      <c r="M6" s="34"/>
      <c r="N6" s="25" t="s">
        <v>1032</v>
      </c>
      <c r="O6" s="27" t="s">
        <v>1222</v>
      </c>
      <c r="P6" s="53" t="s">
        <v>307</v>
      </c>
      <c r="S6" s="1"/>
    </row>
    <row r="7" spans="1:19" ht="43.4" customHeight="1">
      <c r="C7" s="27" t="s">
        <v>1083</v>
      </c>
      <c r="D7" s="26" t="s">
        <v>1189</v>
      </c>
      <c r="E7" s="26" t="s">
        <v>359</v>
      </c>
      <c r="F7" s="27" t="s">
        <v>1223</v>
      </c>
      <c r="G7" s="26" t="s">
        <v>306</v>
      </c>
      <c r="H7" s="26" t="s">
        <v>361</v>
      </c>
      <c r="I7" s="25" t="s">
        <v>161</v>
      </c>
      <c r="J7" s="25" t="s">
        <v>349</v>
      </c>
      <c r="K7" s="33" t="s">
        <v>362</v>
      </c>
      <c r="L7" s="26" t="s">
        <v>363</v>
      </c>
      <c r="M7" s="34"/>
      <c r="N7" s="25" t="s">
        <v>1032</v>
      </c>
      <c r="O7" s="27" t="s">
        <v>1224</v>
      </c>
      <c r="P7" s="53" t="s">
        <v>307</v>
      </c>
      <c r="S7" s="1"/>
    </row>
    <row r="8" spans="1:19" ht="37.4" customHeight="1">
      <c r="C8" s="27" t="s">
        <v>42</v>
      </c>
      <c r="D8" s="26" t="s">
        <v>1125</v>
      </c>
      <c r="E8" s="26" t="s">
        <v>772</v>
      </c>
      <c r="F8" s="27" t="s">
        <v>1225</v>
      </c>
      <c r="G8" s="26" t="s">
        <v>306</v>
      </c>
      <c r="H8" s="26" t="s">
        <v>774</v>
      </c>
      <c r="I8" s="25" t="s">
        <v>1031</v>
      </c>
      <c r="J8" s="25" t="s">
        <v>53</v>
      </c>
      <c r="K8" s="33" t="s">
        <v>1161</v>
      </c>
      <c r="L8" s="26" t="s">
        <v>1226</v>
      </c>
      <c r="M8" s="34"/>
      <c r="N8" s="25" t="s">
        <v>1032</v>
      </c>
      <c r="O8" s="27" t="s">
        <v>1227</v>
      </c>
      <c r="P8" s="53" t="s">
        <v>307</v>
      </c>
      <c r="S8" s="1"/>
    </row>
    <row r="9" spans="1:19" ht="42.75" customHeight="1">
      <c r="C9" s="27" t="s">
        <v>119</v>
      </c>
      <c r="D9" s="26" t="s">
        <v>1194</v>
      </c>
      <c r="E9" s="26" t="s">
        <v>427</v>
      </c>
      <c r="F9" s="27" t="s">
        <v>1195</v>
      </c>
      <c r="G9" s="26" t="s">
        <v>306</v>
      </c>
      <c r="H9" s="26" t="s">
        <v>478</v>
      </c>
      <c r="I9" s="25" t="s">
        <v>1031</v>
      </c>
      <c r="J9" s="25" t="s">
        <v>36</v>
      </c>
      <c r="K9" s="33" t="s">
        <v>422</v>
      </c>
      <c r="L9" s="26" t="s">
        <v>479</v>
      </c>
      <c r="M9" s="33" t="s">
        <v>424</v>
      </c>
      <c r="N9" s="25" t="s">
        <v>1032</v>
      </c>
      <c r="O9" s="27" t="s">
        <v>1228</v>
      </c>
      <c r="P9" s="52" t="s">
        <v>1229</v>
      </c>
      <c r="S9" s="1"/>
    </row>
    <row r="10" spans="1:19" ht="45.75" customHeight="1">
      <c r="C10" s="27" t="s">
        <v>31</v>
      </c>
      <c r="D10" s="26" t="s">
        <v>1144</v>
      </c>
      <c r="E10" s="26" t="s">
        <v>299</v>
      </c>
      <c r="F10" s="27" t="s">
        <v>1230</v>
      </c>
      <c r="G10" s="26" t="s">
        <v>306</v>
      </c>
      <c r="H10" s="26" t="s">
        <v>301</v>
      </c>
      <c r="I10" s="25" t="s">
        <v>1031</v>
      </c>
      <c r="J10" s="25" t="s">
        <v>36</v>
      </c>
      <c r="K10" s="33" t="s">
        <v>1110</v>
      </c>
      <c r="L10" s="26" t="s">
        <v>303</v>
      </c>
      <c r="M10" s="33" t="s">
        <v>304</v>
      </c>
      <c r="N10" s="25" t="s">
        <v>1032</v>
      </c>
      <c r="O10" s="27" t="s">
        <v>1231</v>
      </c>
      <c r="P10" s="53" t="s">
        <v>307</v>
      </c>
      <c r="S10" s="1"/>
    </row>
    <row r="11" spans="1:19" ht="130.5">
      <c r="C11" s="37" t="s">
        <v>1112</v>
      </c>
      <c r="D11" s="30" t="s">
        <v>1046</v>
      </c>
      <c r="E11" s="30" t="s">
        <v>1113</v>
      </c>
      <c r="F11" s="37" t="s">
        <v>1232</v>
      </c>
      <c r="G11" s="30" t="s">
        <v>306</v>
      </c>
      <c r="H11" s="30" t="s">
        <v>783</v>
      </c>
      <c r="I11" s="38" t="s">
        <v>1031</v>
      </c>
      <c r="J11" s="38" t="s">
        <v>53</v>
      </c>
      <c r="K11" s="35" t="s">
        <v>1049</v>
      </c>
      <c r="L11" s="30" t="s">
        <v>776</v>
      </c>
      <c r="M11" s="36"/>
      <c r="N11" s="38" t="s">
        <v>1032</v>
      </c>
      <c r="O11" s="37" t="s">
        <v>1233</v>
      </c>
      <c r="P11" s="59" t="s">
        <v>307</v>
      </c>
      <c r="S11" s="1"/>
    </row>
    <row r="12" spans="1:19">
      <c r="C12" s="1"/>
      <c r="N12" s="1"/>
      <c r="O12" s="1"/>
      <c r="S12" s="1"/>
    </row>
    <row r="13" spans="1:19">
      <c r="C13" s="1"/>
      <c r="N13" s="1"/>
      <c r="O13" s="1"/>
      <c r="S13" s="1"/>
    </row>
    <row r="14" spans="1:19">
      <c r="C14" s="1"/>
      <c r="N14" s="1"/>
      <c r="O14" s="1"/>
      <c r="S14" s="1"/>
    </row>
    <row r="15" spans="1:19">
      <c r="C15" s="1"/>
      <c r="N15" s="1"/>
      <c r="O15" s="1"/>
      <c r="S15" s="1"/>
    </row>
    <row r="16" spans="1:19">
      <c r="C16" s="1"/>
      <c r="N16" s="1"/>
      <c r="O16" s="1"/>
      <c r="S16" s="1"/>
    </row>
    <row r="17" spans="3:19">
      <c r="C17" s="1"/>
      <c r="N17" s="1"/>
      <c r="O17" s="1"/>
      <c r="S17" s="1"/>
    </row>
    <row r="18" spans="3:19">
      <c r="C18" s="1"/>
      <c r="N18" s="1"/>
      <c r="O18" s="1"/>
      <c r="S18" s="1"/>
    </row>
    <row r="19" spans="3:19">
      <c r="C19" s="1"/>
      <c r="N19" s="1"/>
      <c r="O19" s="1"/>
      <c r="S19" s="1"/>
    </row>
    <row r="20" spans="3:19">
      <c r="C20" s="1"/>
      <c r="N20" s="1"/>
      <c r="O20" s="1"/>
      <c r="S20" s="1"/>
    </row>
    <row r="21" spans="3:19">
      <c r="C21" s="1"/>
      <c r="N21" s="1"/>
      <c r="O21" s="1"/>
      <c r="S21" s="1"/>
    </row>
    <row r="22" spans="3:19">
      <c r="C22" s="1"/>
      <c r="N22" s="1"/>
      <c r="O22" s="1"/>
      <c r="S22" s="1"/>
    </row>
    <row r="23" spans="3:19">
      <c r="C23" s="1"/>
      <c r="N23" s="1"/>
      <c r="O23" s="1"/>
      <c r="S23" s="1"/>
    </row>
    <row r="24" spans="3:19">
      <c r="C24" s="1"/>
      <c r="N24" s="1"/>
      <c r="O24" s="1"/>
      <c r="S24" s="1"/>
    </row>
    <row r="25" spans="3:19">
      <c r="C25" s="1"/>
      <c r="N25" s="1"/>
      <c r="O25" s="1"/>
      <c r="S25" s="1"/>
    </row>
    <row r="26" spans="3:19">
      <c r="C26" s="1"/>
      <c r="N26" s="1"/>
      <c r="O26" s="1"/>
      <c r="S26" s="1"/>
    </row>
    <row r="27" spans="3:19">
      <c r="C27" s="1"/>
      <c r="N27" s="1"/>
      <c r="O27" s="1"/>
      <c r="S27" s="1"/>
    </row>
    <row r="28" spans="3:19">
      <c r="C28" s="1"/>
      <c r="N28" s="1"/>
      <c r="O28" s="1"/>
      <c r="S28" s="1"/>
    </row>
    <row r="29" spans="3:19">
      <c r="C29" s="1"/>
      <c r="N29" s="1"/>
      <c r="O29" s="1"/>
      <c r="S29" s="1"/>
    </row>
    <row r="30" spans="3:19">
      <c r="C30" s="1"/>
      <c r="N30" s="1"/>
      <c r="O30" s="1"/>
      <c r="S30" s="1"/>
    </row>
    <row r="31" spans="3:19">
      <c r="C31" s="1"/>
      <c r="N31" s="1"/>
      <c r="O31" s="1"/>
      <c r="S31" s="1"/>
    </row>
    <row r="32" spans="3:19">
      <c r="C32" s="1"/>
      <c r="N32" s="1"/>
      <c r="O32" s="1"/>
      <c r="S32" s="1"/>
    </row>
    <row r="33" spans="3:19">
      <c r="C33" s="1"/>
      <c r="N33" s="1"/>
      <c r="O33" s="1"/>
      <c r="S33" s="1"/>
    </row>
    <row r="34" spans="3:19">
      <c r="D34" s="44"/>
      <c r="E34" s="44"/>
      <c r="F34" s="44"/>
      <c r="G34" s="44"/>
      <c r="H34" s="44"/>
      <c r="I34" s="44"/>
      <c r="J34" s="44"/>
      <c r="K34" s="44"/>
      <c r="L34" s="44"/>
      <c r="M34" s="44"/>
      <c r="P34" s="44"/>
      <c r="Q34" s="44"/>
      <c r="R34" s="44"/>
    </row>
    <row r="35" spans="3:19">
      <c r="D35" s="44"/>
      <c r="E35" s="44"/>
      <c r="F35" s="44"/>
      <c r="G35" s="44"/>
      <c r="H35" s="44"/>
      <c r="I35" s="44"/>
      <c r="J35" s="44"/>
      <c r="K35" s="44"/>
      <c r="L35" s="44"/>
      <c r="M35" s="44"/>
      <c r="P35" s="44"/>
      <c r="Q35" s="44"/>
      <c r="R35" s="44"/>
    </row>
    <row r="36" spans="3:19">
      <c r="D36" s="44"/>
      <c r="E36" s="44"/>
      <c r="F36" s="44"/>
      <c r="G36" s="44"/>
      <c r="H36" s="44"/>
      <c r="I36" s="44"/>
      <c r="J36" s="44"/>
      <c r="K36" s="44"/>
      <c r="L36" s="44"/>
      <c r="M36" s="44"/>
      <c r="P36" s="44"/>
      <c r="Q36" s="44"/>
      <c r="R36" s="44"/>
    </row>
    <row r="37" spans="3:19">
      <c r="D37" s="44"/>
      <c r="E37" s="44"/>
      <c r="F37" s="44"/>
      <c r="G37" s="44"/>
      <c r="H37" s="44"/>
      <c r="I37" s="44"/>
      <c r="J37" s="44"/>
      <c r="K37" s="44"/>
      <c r="L37" s="44"/>
      <c r="M37" s="44"/>
      <c r="P37" s="44"/>
      <c r="Q37" s="44"/>
      <c r="R37" s="44"/>
    </row>
    <row r="38" spans="3:19">
      <c r="D38" s="44"/>
      <c r="E38" s="44"/>
      <c r="F38" s="44"/>
      <c r="G38" s="44"/>
      <c r="H38" s="44"/>
      <c r="I38" s="44"/>
      <c r="J38" s="44"/>
      <c r="K38" s="44"/>
      <c r="L38" s="44"/>
      <c r="M38" s="44"/>
      <c r="P38" s="44"/>
      <c r="Q38" s="44"/>
      <c r="R38" s="44"/>
    </row>
    <row r="39" spans="3:19">
      <c r="D39" s="44"/>
      <c r="E39" s="44"/>
      <c r="F39" s="44"/>
      <c r="G39" s="44"/>
      <c r="H39" s="44"/>
      <c r="I39" s="44"/>
      <c r="J39" s="44"/>
      <c r="K39" s="44"/>
      <c r="L39" s="44"/>
      <c r="M39" s="44"/>
      <c r="P39" s="44"/>
      <c r="Q39" s="44"/>
      <c r="R39" s="44"/>
    </row>
    <row r="40" spans="3:19">
      <c r="D40" s="44"/>
      <c r="E40" s="44"/>
      <c r="F40" s="44"/>
      <c r="G40" s="44"/>
      <c r="H40" s="44"/>
      <c r="I40" s="44"/>
      <c r="J40" s="44"/>
      <c r="K40" s="44"/>
      <c r="L40" s="44"/>
      <c r="M40" s="44"/>
      <c r="P40" s="44"/>
      <c r="Q40" s="44"/>
      <c r="R40" s="44"/>
    </row>
    <row r="41" spans="3:19">
      <c r="D41" s="44"/>
      <c r="E41" s="44"/>
      <c r="F41" s="44"/>
      <c r="G41" s="44"/>
      <c r="H41" s="44"/>
      <c r="I41" s="44"/>
      <c r="J41" s="44"/>
      <c r="K41" s="44"/>
      <c r="L41" s="44"/>
      <c r="M41" s="44"/>
      <c r="P41" s="44"/>
      <c r="Q41" s="44"/>
      <c r="R41" s="44"/>
    </row>
    <row r="42" spans="3:19">
      <c r="D42" s="44"/>
      <c r="E42" s="44"/>
      <c r="F42" s="44"/>
      <c r="G42" s="44"/>
      <c r="H42" s="44"/>
      <c r="I42" s="44"/>
      <c r="J42" s="44"/>
      <c r="K42" s="44"/>
      <c r="L42" s="44"/>
      <c r="M42" s="44"/>
      <c r="P42" s="44"/>
      <c r="Q42" s="44"/>
      <c r="R42" s="44"/>
    </row>
    <row r="43" spans="3:19">
      <c r="D43" s="44"/>
      <c r="E43" s="44"/>
      <c r="F43" s="44"/>
      <c r="G43" s="44"/>
      <c r="H43" s="44"/>
      <c r="I43" s="44"/>
      <c r="J43" s="44"/>
      <c r="K43" s="44"/>
      <c r="L43" s="44"/>
      <c r="M43" s="44"/>
      <c r="P43" s="44"/>
      <c r="Q43" s="44"/>
      <c r="R43" s="44"/>
    </row>
    <row r="44" spans="3:19">
      <c r="D44" s="44"/>
      <c r="E44" s="44"/>
      <c r="F44" s="44"/>
      <c r="G44" s="44"/>
      <c r="H44" s="44"/>
      <c r="I44" s="44"/>
      <c r="J44" s="44"/>
      <c r="K44" s="44"/>
      <c r="L44" s="44"/>
      <c r="M44" s="44"/>
      <c r="P44" s="44"/>
      <c r="Q44" s="44"/>
      <c r="R44" s="44"/>
    </row>
    <row r="45" spans="3:19">
      <c r="D45" s="44"/>
      <c r="E45" s="44"/>
      <c r="F45" s="44"/>
      <c r="G45" s="44"/>
      <c r="H45" s="44"/>
      <c r="I45" s="44"/>
      <c r="J45" s="44"/>
      <c r="K45" s="44"/>
      <c r="L45" s="44"/>
      <c r="M45" s="44"/>
      <c r="P45" s="44"/>
      <c r="Q45" s="44"/>
      <c r="R45" s="44"/>
    </row>
    <row r="46" spans="3:19">
      <c r="D46" s="44"/>
      <c r="E46" s="44"/>
      <c r="F46" s="44"/>
      <c r="G46" s="44"/>
      <c r="H46" s="44"/>
      <c r="I46" s="44"/>
      <c r="J46" s="44"/>
      <c r="K46" s="44"/>
      <c r="L46" s="44"/>
      <c r="M46" s="44"/>
      <c r="P46" s="44"/>
      <c r="Q46" s="44"/>
      <c r="R46" s="44"/>
    </row>
    <row r="47" spans="3:19">
      <c r="D47" s="44"/>
      <c r="E47" s="44"/>
      <c r="F47" s="44"/>
      <c r="G47" s="44"/>
      <c r="H47" s="44"/>
      <c r="I47" s="44"/>
      <c r="J47" s="44"/>
      <c r="K47" s="44"/>
      <c r="L47" s="44"/>
      <c r="M47" s="44"/>
      <c r="P47" s="44"/>
      <c r="Q47" s="44"/>
      <c r="R47" s="44"/>
    </row>
    <row r="48" spans="3:19">
      <c r="D48" s="44"/>
      <c r="E48" s="44"/>
      <c r="F48" s="44"/>
      <c r="G48" s="44"/>
      <c r="H48" s="44"/>
      <c r="I48" s="44"/>
      <c r="J48" s="44"/>
      <c r="K48" s="44"/>
      <c r="L48" s="44"/>
      <c r="M48" s="44"/>
      <c r="P48" s="44"/>
      <c r="Q48" s="44"/>
      <c r="R48" s="44"/>
    </row>
    <row r="49" spans="4:18">
      <c r="D49" s="44"/>
      <c r="E49" s="44"/>
      <c r="F49" s="44"/>
      <c r="G49" s="44"/>
      <c r="H49" s="44"/>
      <c r="I49" s="44"/>
      <c r="J49" s="44"/>
      <c r="K49" s="44"/>
      <c r="L49" s="44"/>
      <c r="M49" s="44"/>
      <c r="P49" s="44"/>
      <c r="Q49" s="44"/>
      <c r="R49" s="44"/>
    </row>
    <row r="50" spans="4:18">
      <c r="D50" s="44"/>
      <c r="E50" s="44"/>
      <c r="F50" s="44"/>
      <c r="G50" s="44"/>
      <c r="H50" s="44"/>
      <c r="I50" s="44"/>
      <c r="J50" s="44"/>
      <c r="K50" s="44"/>
      <c r="L50" s="44"/>
      <c r="M50" s="44"/>
      <c r="P50" s="44"/>
      <c r="Q50" s="44"/>
      <c r="R50" s="44"/>
    </row>
    <row r="51" spans="4:18">
      <c r="D51" s="44"/>
      <c r="E51" s="44"/>
      <c r="F51" s="44"/>
      <c r="G51" s="44"/>
      <c r="H51" s="44"/>
      <c r="I51" s="44"/>
      <c r="J51" s="44"/>
      <c r="K51" s="44"/>
      <c r="L51" s="44"/>
      <c r="M51" s="44"/>
      <c r="P51" s="44"/>
      <c r="Q51" s="44"/>
      <c r="R51" s="44"/>
    </row>
    <row r="52" spans="4:18">
      <c r="D52" s="44"/>
      <c r="E52" s="44"/>
      <c r="F52" s="44"/>
      <c r="G52" s="44"/>
      <c r="H52" s="44"/>
      <c r="I52" s="44"/>
      <c r="J52" s="44"/>
      <c r="K52" s="44"/>
      <c r="L52" s="44"/>
      <c r="M52" s="44"/>
      <c r="P52" s="44"/>
      <c r="Q52" s="44"/>
      <c r="R52" s="44"/>
    </row>
    <row r="53" spans="4:18">
      <c r="D53" s="44"/>
      <c r="E53" s="44"/>
      <c r="F53" s="44"/>
      <c r="G53" s="44"/>
      <c r="H53" s="44"/>
      <c r="I53" s="44"/>
      <c r="J53" s="44"/>
      <c r="K53" s="44"/>
      <c r="L53" s="44"/>
      <c r="M53" s="44"/>
      <c r="P53" s="44"/>
      <c r="Q53" s="44"/>
      <c r="R53" s="44"/>
    </row>
    <row r="54" spans="4:18">
      <c r="D54" s="44"/>
      <c r="E54" s="44"/>
      <c r="F54" s="44"/>
      <c r="G54" s="44"/>
      <c r="H54" s="44"/>
      <c r="I54" s="44"/>
      <c r="J54" s="44"/>
      <c r="K54" s="44"/>
      <c r="L54" s="44"/>
      <c r="M54" s="44"/>
      <c r="P54" s="44"/>
      <c r="Q54" s="44"/>
      <c r="R54" s="44"/>
    </row>
    <row r="55" spans="4:18">
      <c r="D55" s="44"/>
      <c r="E55" s="44"/>
      <c r="F55" s="44"/>
      <c r="G55" s="44"/>
      <c r="H55" s="44"/>
      <c r="I55" s="44"/>
      <c r="J55" s="44"/>
      <c r="K55" s="44"/>
      <c r="L55" s="44"/>
      <c r="M55" s="44"/>
      <c r="P55" s="44"/>
      <c r="Q55" s="44"/>
      <c r="R55" s="44"/>
    </row>
    <row r="56" spans="4:18">
      <c r="D56" s="44"/>
      <c r="E56" s="44"/>
      <c r="F56" s="44"/>
      <c r="G56" s="44"/>
      <c r="H56" s="44"/>
      <c r="I56" s="44"/>
      <c r="J56" s="44"/>
      <c r="K56" s="44"/>
      <c r="L56" s="44"/>
      <c r="M56" s="44"/>
      <c r="P56" s="44"/>
      <c r="Q56" s="44"/>
      <c r="R56" s="44"/>
    </row>
    <row r="57" spans="4:18">
      <c r="D57" s="44"/>
      <c r="E57" s="44"/>
      <c r="F57" s="44"/>
      <c r="G57" s="44"/>
      <c r="H57" s="44"/>
      <c r="I57" s="44"/>
      <c r="J57" s="44"/>
      <c r="K57" s="44"/>
      <c r="L57" s="44"/>
      <c r="M57" s="44"/>
      <c r="P57" s="44"/>
      <c r="Q57" s="44"/>
      <c r="R57" s="44"/>
    </row>
    <row r="58" spans="4:18">
      <c r="D58" s="44"/>
      <c r="E58" s="44"/>
      <c r="F58" s="44"/>
      <c r="G58" s="44"/>
      <c r="H58" s="44"/>
      <c r="I58" s="44"/>
      <c r="J58" s="44"/>
      <c r="K58" s="44"/>
      <c r="L58" s="44"/>
      <c r="M58" s="44"/>
      <c r="P58" s="44"/>
      <c r="Q58" s="44"/>
      <c r="R58" s="44"/>
    </row>
    <row r="59" spans="4:18">
      <c r="D59" s="44"/>
      <c r="E59" s="44"/>
      <c r="F59" s="44"/>
      <c r="G59" s="44"/>
      <c r="H59" s="44"/>
      <c r="I59" s="44"/>
      <c r="J59" s="44"/>
      <c r="K59" s="44"/>
      <c r="L59" s="44"/>
      <c r="M59" s="44"/>
      <c r="P59" s="44"/>
      <c r="Q59" s="44"/>
      <c r="R59" s="44"/>
    </row>
    <row r="60" spans="4:18">
      <c r="D60" s="44"/>
      <c r="E60" s="44"/>
      <c r="F60" s="44"/>
      <c r="G60" s="44"/>
      <c r="H60" s="44"/>
      <c r="I60" s="44"/>
      <c r="J60" s="44"/>
      <c r="K60" s="44"/>
      <c r="L60" s="44"/>
      <c r="M60" s="44"/>
      <c r="P60" s="44"/>
      <c r="Q60" s="44"/>
      <c r="R60" s="44"/>
    </row>
    <row r="61" spans="4:18">
      <c r="D61" s="44"/>
      <c r="E61" s="44"/>
      <c r="F61" s="44"/>
      <c r="G61" s="44"/>
      <c r="H61" s="44"/>
      <c r="I61" s="44"/>
      <c r="J61" s="44"/>
      <c r="K61" s="44"/>
      <c r="L61" s="44"/>
      <c r="M61" s="44"/>
      <c r="P61" s="44"/>
      <c r="Q61" s="44"/>
      <c r="R61" s="44"/>
    </row>
    <row r="62" spans="4:18">
      <c r="D62" s="44"/>
      <c r="E62" s="44"/>
      <c r="F62" s="45"/>
      <c r="G62" s="44"/>
      <c r="H62" s="44"/>
      <c r="I62" s="45"/>
      <c r="J62" s="44"/>
      <c r="K62" s="44"/>
      <c r="L62" s="44"/>
      <c r="M62" s="44"/>
      <c r="P62" s="45"/>
      <c r="Q62" s="45"/>
      <c r="R62" s="45"/>
    </row>
    <row r="63" spans="4:18">
      <c r="D63" s="44"/>
      <c r="E63" s="44"/>
      <c r="F63" s="45"/>
      <c r="G63" s="44"/>
      <c r="H63" s="44"/>
      <c r="I63" s="45"/>
      <c r="J63" s="44"/>
      <c r="K63" s="44"/>
      <c r="L63" s="44"/>
      <c r="M63" s="44"/>
      <c r="P63" s="45"/>
      <c r="Q63" s="45"/>
      <c r="R63" s="45"/>
    </row>
    <row r="64" spans="4:18">
      <c r="D64" s="44"/>
      <c r="E64" s="44"/>
      <c r="F64" s="45"/>
      <c r="G64" s="44"/>
      <c r="H64" s="44"/>
      <c r="I64" s="45"/>
      <c r="J64" s="44"/>
      <c r="K64" s="44"/>
      <c r="L64" s="44"/>
      <c r="M64" s="44"/>
      <c r="P64" s="45"/>
      <c r="Q64" s="45"/>
      <c r="R64" s="45"/>
    </row>
    <row r="65" spans="4:18">
      <c r="D65" s="44"/>
      <c r="E65" s="44"/>
      <c r="F65" s="45"/>
      <c r="G65" s="44"/>
      <c r="H65" s="44"/>
      <c r="I65" s="45"/>
      <c r="J65" s="44"/>
      <c r="K65" s="44"/>
      <c r="L65" s="44"/>
      <c r="M65" s="44"/>
      <c r="P65" s="45"/>
      <c r="Q65" s="45"/>
      <c r="R65" s="45"/>
    </row>
    <row r="66" spans="4:18">
      <c r="D66" s="44"/>
      <c r="E66" s="44"/>
      <c r="F66" s="45"/>
      <c r="G66" s="44"/>
      <c r="H66" s="44"/>
      <c r="I66" s="45"/>
      <c r="J66" s="44"/>
      <c r="K66" s="44"/>
      <c r="L66" s="44"/>
      <c r="M66" s="44"/>
      <c r="P66" s="45"/>
      <c r="Q66" s="45"/>
      <c r="R66" s="45"/>
    </row>
    <row r="67" spans="4:18">
      <c r="D67" s="44"/>
      <c r="E67" s="44"/>
      <c r="F67" s="45"/>
      <c r="G67" s="44"/>
      <c r="H67" s="44"/>
      <c r="I67" s="45"/>
      <c r="J67" s="44"/>
      <c r="K67" s="44"/>
      <c r="L67" s="44"/>
      <c r="M67" s="44"/>
      <c r="P67" s="45"/>
      <c r="Q67" s="45"/>
      <c r="R67" s="45"/>
    </row>
    <row r="68" spans="4:18">
      <c r="D68" s="44"/>
      <c r="E68" s="44"/>
      <c r="F68" s="45"/>
      <c r="G68" s="44"/>
      <c r="H68" s="44"/>
      <c r="I68" s="45"/>
      <c r="J68" s="44"/>
      <c r="K68" s="44"/>
      <c r="L68" s="44"/>
      <c r="M68" s="44"/>
      <c r="P68" s="45"/>
      <c r="Q68" s="45"/>
      <c r="R68" s="45"/>
    </row>
    <row r="69" spans="4:18">
      <c r="D69" s="44"/>
      <c r="E69" s="44"/>
      <c r="F69" s="45"/>
      <c r="G69" s="44"/>
      <c r="H69" s="44"/>
      <c r="I69" s="45"/>
      <c r="J69" s="44"/>
      <c r="K69" s="44"/>
      <c r="L69" s="44"/>
      <c r="M69" s="44"/>
      <c r="P69" s="45"/>
      <c r="Q69" s="45"/>
      <c r="R69" s="45"/>
    </row>
    <row r="70" spans="4:18">
      <c r="D70" s="44"/>
      <c r="E70" s="44"/>
      <c r="F70" s="45"/>
      <c r="G70" s="44"/>
      <c r="H70" s="44"/>
      <c r="I70" s="45"/>
      <c r="J70" s="44"/>
      <c r="K70" s="44"/>
      <c r="L70" s="44"/>
      <c r="M70" s="44"/>
      <c r="P70" s="45"/>
      <c r="Q70" s="45"/>
      <c r="R70" s="45"/>
    </row>
    <row r="71" spans="4:18">
      <c r="D71" s="44"/>
      <c r="E71" s="44"/>
      <c r="F71" s="45"/>
      <c r="G71" s="44"/>
      <c r="H71" s="44"/>
      <c r="I71" s="45"/>
      <c r="J71" s="44"/>
      <c r="K71" s="44"/>
      <c r="L71" s="44"/>
      <c r="M71" s="44"/>
      <c r="P71" s="45"/>
      <c r="Q71" s="45"/>
      <c r="R71" s="45"/>
    </row>
    <row r="72" spans="4:18">
      <c r="D72" s="44"/>
      <c r="E72" s="44"/>
      <c r="F72" s="45"/>
      <c r="G72" s="44"/>
      <c r="H72" s="44"/>
      <c r="I72" s="45"/>
      <c r="J72" s="44"/>
      <c r="K72" s="44"/>
      <c r="L72" s="44"/>
      <c r="M72" s="44"/>
      <c r="P72" s="45"/>
      <c r="Q72" s="45"/>
      <c r="R72" s="45"/>
    </row>
    <row r="73" spans="4:18">
      <c r="D73" s="44"/>
      <c r="E73" s="44"/>
      <c r="F73" s="45"/>
      <c r="G73" s="44"/>
      <c r="H73" s="44"/>
      <c r="I73" s="45"/>
      <c r="J73" s="44"/>
      <c r="K73" s="44"/>
      <c r="L73" s="44"/>
      <c r="M73" s="44"/>
      <c r="P73" s="45"/>
      <c r="Q73" s="45"/>
      <c r="R73" s="45"/>
    </row>
    <row r="74" spans="4:18">
      <c r="D74" s="44"/>
      <c r="E74" s="44"/>
      <c r="F74" s="45"/>
      <c r="G74" s="44"/>
      <c r="H74" s="44"/>
      <c r="I74" s="45"/>
      <c r="J74" s="44"/>
      <c r="K74" s="44"/>
      <c r="L74" s="44"/>
      <c r="M74" s="44"/>
      <c r="P74" s="45"/>
      <c r="Q74" s="45"/>
      <c r="R74" s="45"/>
    </row>
    <row r="75" spans="4:18">
      <c r="D75" s="44"/>
      <c r="E75" s="44"/>
      <c r="F75" s="45"/>
      <c r="G75" s="44"/>
      <c r="H75" s="44"/>
      <c r="I75" s="45"/>
      <c r="J75" s="44"/>
      <c r="K75" s="44"/>
      <c r="L75" s="44"/>
      <c r="M75" s="44"/>
      <c r="P75" s="45"/>
      <c r="Q75" s="45"/>
      <c r="R75" s="45"/>
    </row>
    <row r="76" spans="4:18">
      <c r="D76" s="44"/>
      <c r="E76" s="44"/>
      <c r="F76" s="45"/>
      <c r="G76" s="44"/>
      <c r="H76" s="44"/>
      <c r="I76" s="45"/>
      <c r="J76" s="44"/>
      <c r="K76" s="44"/>
      <c r="L76" s="44"/>
      <c r="M76" s="44"/>
      <c r="P76" s="45"/>
      <c r="Q76" s="45"/>
      <c r="R76" s="45"/>
    </row>
    <row r="77" spans="4:18">
      <c r="D77" s="44"/>
      <c r="E77" s="44"/>
      <c r="F77" s="45"/>
      <c r="G77" s="44"/>
      <c r="H77" s="44"/>
      <c r="I77" s="45"/>
      <c r="J77" s="44"/>
      <c r="K77" s="44"/>
      <c r="L77" s="44"/>
      <c r="M77" s="44"/>
      <c r="P77" s="45"/>
      <c r="Q77" s="45"/>
      <c r="R77" s="45"/>
    </row>
    <row r="78" spans="4:18">
      <c r="D78" s="44"/>
      <c r="E78" s="44"/>
      <c r="F78" s="45"/>
      <c r="G78" s="44"/>
      <c r="H78" s="44"/>
      <c r="I78" s="45"/>
      <c r="J78" s="44"/>
      <c r="K78" s="44"/>
      <c r="L78" s="44"/>
      <c r="M78" s="44"/>
      <c r="P78" s="45"/>
      <c r="Q78" s="45"/>
      <c r="R78" s="45"/>
    </row>
    <row r="79" spans="4:18">
      <c r="D79" s="44"/>
      <c r="E79" s="44"/>
      <c r="F79" s="45"/>
      <c r="G79" s="44"/>
      <c r="H79" s="44"/>
      <c r="I79" s="45"/>
      <c r="J79" s="44"/>
      <c r="K79" s="44"/>
      <c r="L79" s="44"/>
      <c r="M79" s="44"/>
      <c r="P79" s="45"/>
      <c r="Q79" s="45"/>
      <c r="R79" s="45"/>
    </row>
    <row r="80" spans="4:18">
      <c r="D80" s="44"/>
      <c r="E80" s="44"/>
      <c r="F80" s="45"/>
      <c r="G80" s="44"/>
      <c r="H80" s="44"/>
      <c r="I80" s="45"/>
      <c r="J80" s="44"/>
      <c r="K80" s="44"/>
      <c r="L80" s="44"/>
      <c r="M80" s="44"/>
      <c r="P80" s="45"/>
      <c r="Q80" s="45"/>
      <c r="R80" s="45"/>
    </row>
    <row r="81" spans="4:18">
      <c r="D81" s="44"/>
      <c r="E81" s="44"/>
      <c r="F81" s="45"/>
      <c r="G81" s="44"/>
      <c r="H81" s="44"/>
      <c r="I81" s="45"/>
      <c r="J81" s="44"/>
      <c r="K81" s="44"/>
      <c r="L81" s="44"/>
      <c r="M81" s="44"/>
      <c r="P81" s="45"/>
      <c r="Q81" s="45"/>
      <c r="R81" s="45"/>
    </row>
    <row r="82" spans="4:18">
      <c r="D82" s="44"/>
      <c r="E82" s="44"/>
      <c r="F82" s="45"/>
      <c r="G82" s="44"/>
      <c r="H82" s="44"/>
      <c r="I82" s="45"/>
      <c r="J82" s="44"/>
      <c r="K82" s="44"/>
      <c r="L82" s="44"/>
      <c r="M82" s="44"/>
      <c r="P82" s="45"/>
      <c r="Q82" s="45"/>
      <c r="R82" s="45"/>
    </row>
    <row r="83" spans="4:18">
      <c r="D83" s="44"/>
      <c r="E83" s="44"/>
      <c r="F83" s="45"/>
      <c r="G83" s="44"/>
      <c r="H83" s="44"/>
      <c r="I83" s="45"/>
      <c r="J83" s="44"/>
      <c r="K83" s="44"/>
      <c r="L83" s="44"/>
      <c r="M83" s="44"/>
      <c r="P83" s="45"/>
      <c r="Q83" s="45"/>
      <c r="R83" s="45"/>
    </row>
    <row r="84" spans="4:18">
      <c r="D84" s="44"/>
      <c r="E84" s="44"/>
      <c r="F84" s="45"/>
      <c r="G84" s="44"/>
      <c r="H84" s="44"/>
      <c r="I84" s="45"/>
      <c r="J84" s="44"/>
      <c r="K84" s="44"/>
      <c r="L84" s="44"/>
      <c r="M84" s="44"/>
      <c r="P84" s="45"/>
      <c r="Q84" s="45"/>
      <c r="R84" s="45"/>
    </row>
    <row r="85" spans="4:18">
      <c r="D85" s="44"/>
      <c r="E85" s="44"/>
      <c r="F85" s="45"/>
      <c r="G85" s="44"/>
      <c r="H85" s="44"/>
      <c r="I85" s="45"/>
      <c r="J85" s="44"/>
      <c r="K85" s="44"/>
      <c r="L85" s="44"/>
      <c r="M85" s="44"/>
      <c r="P85" s="45"/>
      <c r="Q85" s="45"/>
      <c r="R85" s="45"/>
    </row>
    <row r="86" spans="4:18">
      <c r="D86" s="44"/>
      <c r="E86" s="44"/>
      <c r="F86" s="45"/>
      <c r="G86" s="44"/>
      <c r="H86" s="44"/>
      <c r="I86" s="45"/>
      <c r="J86" s="44"/>
      <c r="K86" s="44"/>
      <c r="L86" s="44"/>
      <c r="M86" s="44"/>
      <c r="P86" s="45"/>
      <c r="Q86" s="45"/>
      <c r="R86" s="45"/>
    </row>
    <row r="87" spans="4:18">
      <c r="D87" s="44"/>
      <c r="E87" s="44"/>
      <c r="F87" s="45"/>
      <c r="G87" s="44"/>
      <c r="H87" s="44"/>
      <c r="I87" s="45"/>
      <c r="J87" s="44"/>
      <c r="K87" s="44"/>
      <c r="L87" s="44"/>
      <c r="M87" s="44"/>
      <c r="P87" s="45"/>
      <c r="Q87" s="45"/>
      <c r="R87" s="45"/>
    </row>
    <row r="88" spans="4:18">
      <c r="D88" s="44"/>
      <c r="E88" s="44"/>
      <c r="F88" s="45"/>
      <c r="G88" s="44"/>
      <c r="H88" s="44"/>
      <c r="I88" s="45"/>
      <c r="J88" s="44"/>
      <c r="K88" s="44"/>
      <c r="L88" s="44"/>
      <c r="M88" s="44"/>
      <c r="P88" s="45"/>
      <c r="Q88" s="45"/>
      <c r="R88" s="45"/>
    </row>
    <row r="89" spans="4:18">
      <c r="D89" s="44"/>
      <c r="E89" s="44"/>
      <c r="F89" s="45"/>
      <c r="G89" s="44"/>
      <c r="H89" s="44"/>
      <c r="I89" s="45"/>
      <c r="J89" s="44"/>
      <c r="K89" s="44"/>
      <c r="L89" s="44"/>
      <c r="M89" s="44"/>
      <c r="P89" s="45"/>
      <c r="Q89" s="45"/>
      <c r="R89" s="45"/>
    </row>
    <row r="90" spans="4:18">
      <c r="D90" s="44"/>
      <c r="E90" s="44"/>
      <c r="F90" s="45"/>
      <c r="G90" s="44"/>
      <c r="H90" s="44"/>
      <c r="I90" s="45"/>
      <c r="J90" s="44"/>
      <c r="K90" s="44"/>
      <c r="L90" s="44"/>
      <c r="M90" s="44"/>
      <c r="P90" s="45"/>
      <c r="Q90" s="45"/>
      <c r="R90" s="45"/>
    </row>
    <row r="91" spans="4:18">
      <c r="D91" s="44"/>
      <c r="E91" s="44"/>
      <c r="F91" s="45"/>
      <c r="G91" s="44"/>
      <c r="H91" s="44"/>
      <c r="I91" s="45"/>
      <c r="J91" s="44"/>
      <c r="K91" s="44"/>
      <c r="L91" s="44"/>
      <c r="M91" s="44"/>
      <c r="P91" s="45"/>
      <c r="Q91" s="45"/>
      <c r="R91" s="45"/>
    </row>
    <row r="92" spans="4:18">
      <c r="D92" s="44"/>
      <c r="E92" s="44"/>
      <c r="F92" s="45"/>
      <c r="G92" s="44"/>
      <c r="H92" s="44"/>
      <c r="I92" s="45"/>
      <c r="J92" s="44"/>
      <c r="K92" s="44"/>
      <c r="L92" s="44"/>
      <c r="M92" s="44"/>
      <c r="P92" s="45"/>
      <c r="Q92" s="45"/>
      <c r="R92" s="45"/>
    </row>
    <row r="93" spans="4:18">
      <c r="D93" s="44"/>
      <c r="E93" s="44"/>
      <c r="F93" s="45"/>
      <c r="G93" s="44"/>
      <c r="H93" s="44"/>
      <c r="I93" s="45"/>
      <c r="J93" s="44"/>
      <c r="K93" s="44"/>
      <c r="L93" s="44"/>
      <c r="M93" s="44"/>
      <c r="P93" s="45"/>
      <c r="Q93" s="45"/>
      <c r="R93" s="45"/>
    </row>
    <row r="94" spans="4:18">
      <c r="D94" s="44"/>
      <c r="E94" s="44"/>
      <c r="F94" s="45"/>
      <c r="G94" s="44"/>
      <c r="H94" s="44"/>
      <c r="I94" s="45"/>
      <c r="J94" s="44"/>
      <c r="K94" s="44"/>
      <c r="L94" s="44"/>
      <c r="M94" s="44"/>
      <c r="P94" s="45"/>
      <c r="Q94" s="45"/>
      <c r="R94" s="45"/>
    </row>
    <row r="95" spans="4:18">
      <c r="D95" s="44"/>
      <c r="E95" s="44"/>
      <c r="F95" s="45"/>
      <c r="G95" s="44"/>
      <c r="H95" s="44"/>
      <c r="I95" s="45"/>
      <c r="J95" s="44"/>
      <c r="K95" s="44"/>
      <c r="L95" s="44"/>
      <c r="M95" s="44"/>
      <c r="P95" s="45"/>
      <c r="Q95" s="45"/>
      <c r="R95" s="45"/>
    </row>
    <row r="96" spans="4:18">
      <c r="D96" s="44"/>
      <c r="E96" s="44"/>
      <c r="F96" s="45"/>
      <c r="G96" s="44"/>
      <c r="H96" s="44"/>
      <c r="I96" s="45"/>
      <c r="J96" s="44"/>
      <c r="K96" s="44"/>
      <c r="L96" s="44"/>
      <c r="M96" s="44"/>
      <c r="P96" s="45"/>
      <c r="Q96" s="45"/>
      <c r="R96" s="45"/>
    </row>
    <row r="97" spans="4:18">
      <c r="D97" s="44"/>
      <c r="E97" s="44"/>
      <c r="F97" s="45"/>
      <c r="G97" s="44"/>
      <c r="H97" s="44"/>
      <c r="I97" s="45"/>
      <c r="J97" s="44"/>
      <c r="K97" s="44"/>
      <c r="L97" s="44"/>
      <c r="M97" s="44"/>
      <c r="P97" s="45"/>
      <c r="Q97" s="45"/>
      <c r="R97" s="45"/>
    </row>
    <row r="98" spans="4:18">
      <c r="D98" s="44"/>
      <c r="E98" s="44"/>
      <c r="F98" s="45"/>
      <c r="G98" s="44"/>
      <c r="H98" s="44"/>
      <c r="I98" s="45"/>
      <c r="J98" s="44"/>
      <c r="K98" s="44"/>
      <c r="L98" s="44"/>
      <c r="M98" s="44"/>
      <c r="P98" s="45"/>
      <c r="Q98" s="45"/>
      <c r="R98" s="45"/>
    </row>
    <row r="99" spans="4:18">
      <c r="D99" s="44"/>
      <c r="E99" s="44"/>
      <c r="F99" s="45"/>
      <c r="G99" s="44"/>
      <c r="H99" s="44"/>
      <c r="I99" s="45"/>
      <c r="J99" s="44"/>
      <c r="K99" s="44"/>
      <c r="L99" s="44"/>
      <c r="M99" s="44"/>
      <c r="P99" s="45"/>
      <c r="Q99" s="45"/>
      <c r="R99" s="45"/>
    </row>
    <row r="100" spans="4:18">
      <c r="D100" s="44"/>
      <c r="E100" s="44"/>
      <c r="F100" s="45"/>
      <c r="G100" s="44"/>
      <c r="H100" s="44"/>
      <c r="I100" s="45"/>
      <c r="J100" s="44"/>
      <c r="K100" s="44"/>
      <c r="L100" s="44"/>
      <c r="M100" s="44"/>
      <c r="P100" s="45"/>
      <c r="Q100" s="45"/>
      <c r="R100" s="45"/>
    </row>
    <row r="101" spans="4:18">
      <c r="D101" s="44"/>
      <c r="E101" s="44"/>
      <c r="F101" s="45"/>
      <c r="G101" s="44"/>
      <c r="H101" s="44"/>
      <c r="I101" s="45"/>
      <c r="J101" s="44"/>
      <c r="K101" s="44"/>
      <c r="L101" s="44"/>
      <c r="M101" s="44"/>
      <c r="P101" s="45"/>
      <c r="Q101" s="45"/>
      <c r="R101" s="45"/>
    </row>
    <row r="102" spans="4:18">
      <c r="D102" s="44"/>
      <c r="E102" s="44"/>
      <c r="F102" s="45"/>
      <c r="G102" s="44"/>
      <c r="H102" s="44"/>
      <c r="I102" s="45"/>
      <c r="J102" s="44"/>
      <c r="K102" s="44"/>
      <c r="L102" s="44"/>
      <c r="M102" s="44"/>
      <c r="P102" s="45"/>
      <c r="Q102" s="45"/>
      <c r="R102" s="45"/>
    </row>
    <row r="103" spans="4:18">
      <c r="D103" s="44"/>
      <c r="E103" s="44"/>
      <c r="F103" s="45"/>
      <c r="G103" s="44"/>
      <c r="H103" s="44"/>
      <c r="I103" s="45"/>
      <c r="J103" s="44"/>
      <c r="K103" s="44"/>
      <c r="L103" s="44"/>
      <c r="M103" s="44"/>
      <c r="P103" s="45"/>
      <c r="Q103" s="45"/>
      <c r="R103" s="45"/>
    </row>
    <row r="104" spans="4:18">
      <c r="D104" s="44"/>
      <c r="E104" s="44"/>
      <c r="F104" s="45"/>
      <c r="G104" s="44"/>
      <c r="H104" s="44"/>
      <c r="I104" s="45"/>
      <c r="J104" s="44"/>
      <c r="K104" s="44"/>
      <c r="L104" s="44"/>
      <c r="M104" s="44"/>
      <c r="P104" s="45"/>
      <c r="Q104" s="45"/>
      <c r="R104" s="45"/>
    </row>
    <row r="105" spans="4:18">
      <c r="D105" s="44"/>
      <c r="E105" s="44"/>
      <c r="F105" s="45"/>
      <c r="G105" s="44"/>
      <c r="H105" s="44"/>
      <c r="I105" s="45"/>
      <c r="J105" s="44"/>
      <c r="K105" s="44"/>
      <c r="L105" s="44"/>
      <c r="M105" s="44"/>
      <c r="P105" s="45"/>
      <c r="Q105" s="45"/>
      <c r="R105" s="45"/>
    </row>
    <row r="106" spans="4:18">
      <c r="D106" s="44"/>
      <c r="E106" s="44"/>
      <c r="F106" s="45"/>
      <c r="G106" s="44"/>
      <c r="H106" s="44"/>
      <c r="I106" s="45"/>
      <c r="J106" s="44"/>
      <c r="K106" s="44"/>
      <c r="L106" s="44"/>
      <c r="M106" s="44"/>
      <c r="P106" s="45"/>
      <c r="Q106" s="45"/>
      <c r="R106" s="45"/>
    </row>
    <row r="107" spans="4:18">
      <c r="D107" s="44"/>
      <c r="E107" s="44"/>
      <c r="F107" s="45"/>
      <c r="G107" s="44"/>
      <c r="H107" s="44"/>
      <c r="I107" s="45"/>
      <c r="J107" s="44"/>
      <c r="K107" s="44"/>
      <c r="L107" s="44"/>
      <c r="M107" s="44"/>
      <c r="P107" s="45"/>
      <c r="Q107" s="45"/>
      <c r="R107" s="45"/>
    </row>
    <row r="108" spans="4:18">
      <c r="D108" s="44"/>
      <c r="E108" s="44"/>
      <c r="F108" s="45"/>
      <c r="G108" s="44"/>
      <c r="H108" s="44"/>
      <c r="I108" s="45"/>
      <c r="J108" s="44"/>
      <c r="K108" s="44"/>
      <c r="L108" s="44"/>
      <c r="M108" s="44"/>
      <c r="P108" s="45"/>
      <c r="Q108" s="45"/>
      <c r="R108" s="45"/>
    </row>
    <row r="109" spans="4:18">
      <c r="D109" s="44"/>
      <c r="E109" s="44"/>
      <c r="F109" s="45"/>
      <c r="G109" s="44"/>
      <c r="H109" s="44"/>
      <c r="I109" s="45"/>
      <c r="J109" s="44"/>
      <c r="K109" s="44"/>
      <c r="L109" s="44"/>
      <c r="M109" s="44"/>
      <c r="P109" s="45"/>
      <c r="Q109" s="45"/>
      <c r="R109" s="45"/>
    </row>
    <row r="110" spans="4:18">
      <c r="D110" s="44"/>
      <c r="E110" s="44"/>
      <c r="F110" s="45"/>
      <c r="G110" s="44"/>
      <c r="H110" s="44"/>
      <c r="I110" s="45"/>
      <c r="J110" s="44"/>
      <c r="K110" s="44"/>
      <c r="L110" s="44"/>
      <c r="M110" s="44"/>
      <c r="P110" s="45"/>
      <c r="Q110" s="45"/>
      <c r="R110" s="45"/>
    </row>
    <row r="111" spans="4:18">
      <c r="D111" s="44"/>
      <c r="E111" s="44"/>
      <c r="F111" s="45"/>
      <c r="G111" s="44"/>
      <c r="H111" s="44"/>
      <c r="I111" s="45"/>
      <c r="J111" s="44"/>
      <c r="K111" s="44"/>
      <c r="L111" s="44"/>
      <c r="M111" s="44"/>
      <c r="P111" s="45"/>
      <c r="Q111" s="45"/>
      <c r="R111" s="45"/>
    </row>
    <row r="112" spans="4:18">
      <c r="D112" s="44"/>
      <c r="E112" s="44"/>
      <c r="F112" s="45"/>
      <c r="G112" s="44"/>
      <c r="H112" s="44"/>
      <c r="I112" s="45"/>
      <c r="J112" s="44"/>
      <c r="K112" s="44"/>
      <c r="L112" s="44"/>
      <c r="M112" s="44"/>
      <c r="P112" s="45"/>
      <c r="Q112" s="45"/>
      <c r="R112" s="45"/>
    </row>
    <row r="113" spans="4:18">
      <c r="D113" s="44"/>
      <c r="E113" s="44"/>
      <c r="F113" s="45"/>
      <c r="G113" s="44"/>
      <c r="H113" s="44"/>
      <c r="I113" s="45"/>
      <c r="J113" s="44"/>
      <c r="K113" s="44"/>
      <c r="L113" s="44"/>
      <c r="M113" s="44"/>
      <c r="P113" s="45"/>
      <c r="Q113" s="45"/>
      <c r="R113" s="45"/>
    </row>
    <row r="114" spans="4:18">
      <c r="D114" s="44"/>
      <c r="E114" s="44"/>
      <c r="F114" s="45"/>
      <c r="G114" s="44"/>
      <c r="H114" s="44"/>
      <c r="I114" s="45"/>
      <c r="J114" s="44"/>
      <c r="K114" s="44"/>
      <c r="L114" s="44"/>
      <c r="M114" s="44"/>
      <c r="P114" s="45"/>
      <c r="Q114" s="45"/>
      <c r="R114" s="45"/>
    </row>
    <row r="115" spans="4:18">
      <c r="D115" s="44"/>
      <c r="E115" s="44"/>
      <c r="F115" s="45"/>
      <c r="G115" s="44"/>
      <c r="H115" s="44"/>
      <c r="I115" s="45"/>
      <c r="J115" s="44"/>
      <c r="K115" s="44"/>
      <c r="L115" s="44"/>
      <c r="M115" s="44"/>
      <c r="P115" s="45"/>
      <c r="Q115" s="45"/>
      <c r="R115" s="45"/>
    </row>
    <row r="116" spans="4:18">
      <c r="D116" s="44"/>
      <c r="E116" s="44"/>
      <c r="F116" s="45"/>
      <c r="G116" s="44"/>
      <c r="H116" s="44"/>
      <c r="I116" s="45"/>
      <c r="J116" s="44"/>
      <c r="K116" s="44"/>
      <c r="L116" s="44"/>
      <c r="M116" s="44"/>
      <c r="P116" s="45"/>
      <c r="Q116" s="45"/>
      <c r="R116" s="45"/>
    </row>
    <row r="117" spans="4:18">
      <c r="D117" s="44"/>
      <c r="E117" s="44"/>
      <c r="F117" s="45"/>
      <c r="G117" s="44"/>
      <c r="H117" s="44"/>
      <c r="I117" s="45"/>
      <c r="J117" s="44"/>
      <c r="K117" s="44"/>
      <c r="L117" s="44"/>
      <c r="M117" s="44"/>
      <c r="P117" s="45"/>
      <c r="Q117" s="45"/>
      <c r="R117" s="45"/>
    </row>
    <row r="118" spans="4:18">
      <c r="D118" s="44"/>
      <c r="E118" s="44"/>
      <c r="F118" s="45"/>
      <c r="G118" s="44"/>
      <c r="H118" s="44"/>
      <c r="I118" s="45"/>
      <c r="J118" s="44"/>
      <c r="K118" s="44"/>
      <c r="L118" s="44"/>
      <c r="M118" s="44"/>
      <c r="P118" s="45"/>
      <c r="Q118" s="45"/>
      <c r="R118" s="45"/>
    </row>
    <row r="119" spans="4:18">
      <c r="D119" s="44"/>
      <c r="E119" s="44"/>
      <c r="F119" s="45"/>
      <c r="G119" s="44"/>
      <c r="H119" s="44"/>
      <c r="I119" s="45"/>
      <c r="J119" s="44"/>
      <c r="K119" s="44"/>
      <c r="L119" s="44"/>
      <c r="M119" s="44"/>
      <c r="P119" s="45"/>
      <c r="Q119" s="45"/>
      <c r="R119" s="45"/>
    </row>
    <row r="120" spans="4:18">
      <c r="D120" s="44"/>
      <c r="E120" s="44"/>
      <c r="F120" s="45"/>
      <c r="G120" s="44"/>
      <c r="H120" s="44"/>
      <c r="I120" s="45"/>
      <c r="J120" s="44"/>
      <c r="K120" s="44"/>
      <c r="L120" s="44"/>
      <c r="M120" s="44"/>
      <c r="P120" s="45"/>
      <c r="Q120" s="45"/>
      <c r="R120" s="45"/>
    </row>
    <row r="121" spans="4:18">
      <c r="D121" s="44"/>
      <c r="E121" s="44"/>
      <c r="F121" s="45"/>
      <c r="G121" s="44"/>
      <c r="H121" s="44"/>
      <c r="I121" s="45"/>
      <c r="J121" s="44"/>
      <c r="K121" s="44"/>
      <c r="L121" s="44"/>
      <c r="M121" s="44"/>
      <c r="P121" s="45"/>
      <c r="Q121" s="45"/>
      <c r="R121" s="45"/>
    </row>
    <row r="122" spans="4:18">
      <c r="D122" s="44"/>
      <c r="E122" s="44"/>
      <c r="F122" s="45"/>
      <c r="G122" s="44"/>
      <c r="H122" s="44"/>
      <c r="I122" s="45"/>
      <c r="J122" s="44"/>
      <c r="K122" s="44"/>
      <c r="L122" s="44"/>
      <c r="M122" s="44"/>
      <c r="P122" s="45"/>
      <c r="Q122" s="45"/>
      <c r="R122" s="45"/>
    </row>
    <row r="123" spans="4:18">
      <c r="D123" s="44"/>
      <c r="E123" s="44"/>
      <c r="F123" s="45"/>
      <c r="G123" s="44"/>
      <c r="H123" s="44"/>
      <c r="I123" s="45"/>
      <c r="J123" s="44"/>
      <c r="K123" s="44"/>
      <c r="L123" s="44"/>
      <c r="M123" s="44"/>
      <c r="P123" s="45"/>
      <c r="Q123" s="45"/>
      <c r="R123" s="45"/>
    </row>
    <row r="124" spans="4:18">
      <c r="D124" s="44"/>
      <c r="E124" s="44"/>
      <c r="F124" s="45"/>
      <c r="G124" s="44"/>
      <c r="H124" s="44"/>
      <c r="I124" s="45"/>
      <c r="J124" s="44"/>
      <c r="K124" s="44"/>
      <c r="L124" s="44"/>
      <c r="M124" s="44"/>
      <c r="P124" s="45"/>
      <c r="Q124" s="45"/>
      <c r="R124" s="45"/>
    </row>
    <row r="125" spans="4:18">
      <c r="D125" s="44"/>
      <c r="E125" s="44"/>
      <c r="F125" s="45"/>
      <c r="G125" s="44"/>
      <c r="H125" s="44"/>
      <c r="I125" s="45"/>
      <c r="J125" s="44"/>
      <c r="K125" s="44"/>
      <c r="L125" s="44"/>
      <c r="M125" s="44"/>
      <c r="P125" s="45"/>
      <c r="Q125" s="45"/>
      <c r="R125" s="45"/>
    </row>
    <row r="126" spans="4:18">
      <c r="D126" s="44"/>
      <c r="E126" s="44"/>
      <c r="F126" s="45"/>
      <c r="G126" s="44"/>
      <c r="H126" s="44"/>
      <c r="I126" s="45"/>
      <c r="J126" s="44"/>
      <c r="K126" s="44"/>
      <c r="L126" s="44"/>
      <c r="M126" s="44"/>
      <c r="P126" s="45"/>
      <c r="Q126" s="45"/>
      <c r="R126" s="45"/>
    </row>
    <row r="127" spans="4:18">
      <c r="D127" s="44"/>
      <c r="E127" s="44"/>
      <c r="F127" s="45"/>
      <c r="G127" s="44"/>
      <c r="H127" s="44"/>
      <c r="I127" s="45"/>
      <c r="J127" s="44"/>
      <c r="K127" s="44"/>
      <c r="L127" s="44"/>
      <c r="M127" s="44"/>
      <c r="P127" s="45"/>
      <c r="Q127" s="45"/>
      <c r="R127" s="45"/>
    </row>
    <row r="128" spans="4:18">
      <c r="D128" s="44"/>
      <c r="E128" s="44"/>
      <c r="F128" s="45"/>
      <c r="G128" s="44"/>
      <c r="H128" s="44"/>
      <c r="I128" s="45"/>
      <c r="J128" s="44"/>
      <c r="K128" s="44"/>
      <c r="L128" s="44"/>
      <c r="M128" s="44"/>
      <c r="P128" s="45"/>
      <c r="Q128" s="45"/>
      <c r="R128" s="45"/>
    </row>
    <row r="129" spans="4:18">
      <c r="D129" s="44"/>
      <c r="E129" s="44"/>
      <c r="F129" s="45"/>
      <c r="G129" s="44"/>
      <c r="H129" s="44"/>
      <c r="I129" s="45"/>
      <c r="J129" s="44"/>
      <c r="K129" s="44"/>
      <c r="L129" s="44"/>
      <c r="M129" s="44"/>
      <c r="P129" s="45"/>
      <c r="Q129" s="45"/>
      <c r="R129" s="45"/>
    </row>
    <row r="130" spans="4:18">
      <c r="D130" s="44"/>
      <c r="E130" s="44"/>
      <c r="F130" s="45"/>
      <c r="G130" s="44"/>
      <c r="H130" s="44"/>
      <c r="I130" s="45"/>
      <c r="J130" s="44"/>
      <c r="K130" s="44"/>
      <c r="L130" s="44"/>
      <c r="M130" s="44"/>
      <c r="P130" s="45"/>
      <c r="Q130" s="45"/>
      <c r="R130" s="45"/>
    </row>
    <row r="131" spans="4:18">
      <c r="D131" s="44"/>
      <c r="E131" s="44"/>
      <c r="F131" s="45"/>
      <c r="G131" s="44"/>
      <c r="H131" s="44"/>
      <c r="I131" s="45"/>
      <c r="J131" s="44"/>
      <c r="K131" s="44"/>
      <c r="L131" s="44"/>
      <c r="M131" s="44"/>
      <c r="P131" s="45"/>
      <c r="Q131" s="45"/>
      <c r="R131" s="45"/>
    </row>
    <row r="132" spans="4:18">
      <c r="D132" s="44"/>
      <c r="E132" s="44"/>
      <c r="F132" s="45"/>
      <c r="G132" s="44"/>
      <c r="H132" s="44"/>
      <c r="I132" s="45"/>
      <c r="J132" s="44"/>
      <c r="K132" s="44"/>
      <c r="L132" s="44"/>
      <c r="M132" s="44"/>
      <c r="P132" s="45"/>
      <c r="Q132" s="45"/>
      <c r="R132" s="45"/>
    </row>
    <row r="133" spans="4:18">
      <c r="D133" s="44"/>
      <c r="E133" s="44"/>
      <c r="F133" s="45"/>
      <c r="G133" s="44"/>
      <c r="H133" s="44"/>
      <c r="I133" s="45"/>
      <c r="J133" s="44"/>
      <c r="K133" s="44"/>
      <c r="L133" s="44"/>
      <c r="M133" s="44"/>
      <c r="P133" s="45"/>
      <c r="Q133" s="45"/>
      <c r="R133" s="45"/>
    </row>
    <row r="134" spans="4:18">
      <c r="D134" s="44"/>
      <c r="E134" s="44"/>
      <c r="F134" s="45"/>
      <c r="G134" s="44"/>
      <c r="H134" s="44"/>
      <c r="I134" s="45"/>
      <c r="J134" s="44"/>
      <c r="K134" s="44"/>
      <c r="L134" s="44"/>
      <c r="M134" s="44"/>
      <c r="P134" s="45"/>
      <c r="Q134" s="45"/>
      <c r="R134" s="45"/>
    </row>
    <row r="135" spans="4:18">
      <c r="D135" s="44"/>
      <c r="E135" s="44"/>
      <c r="F135" s="45"/>
      <c r="G135" s="44"/>
      <c r="H135" s="44"/>
      <c r="I135" s="45"/>
      <c r="J135" s="44"/>
      <c r="K135" s="44"/>
      <c r="L135" s="44"/>
      <c r="M135" s="44"/>
      <c r="P135" s="45"/>
      <c r="Q135" s="45"/>
      <c r="R135" s="45"/>
    </row>
    <row r="136" spans="4:18">
      <c r="D136" s="44"/>
      <c r="E136" s="44"/>
      <c r="F136" s="45"/>
      <c r="G136" s="44"/>
      <c r="H136" s="44"/>
      <c r="I136" s="45"/>
      <c r="J136" s="44"/>
      <c r="K136" s="44"/>
      <c r="L136" s="44"/>
      <c r="M136" s="44"/>
      <c r="P136" s="45"/>
      <c r="Q136" s="45"/>
      <c r="R136" s="45"/>
    </row>
    <row r="137" spans="4:18">
      <c r="D137" s="44"/>
      <c r="E137" s="44"/>
      <c r="F137" s="45"/>
      <c r="G137" s="44"/>
      <c r="H137" s="44"/>
      <c r="I137" s="45"/>
      <c r="J137" s="44"/>
      <c r="K137" s="44"/>
      <c r="L137" s="44"/>
      <c r="M137" s="44"/>
      <c r="P137" s="45"/>
      <c r="Q137" s="45"/>
      <c r="R137" s="45"/>
    </row>
    <row r="138" spans="4:18">
      <c r="D138" s="44"/>
      <c r="E138" s="44"/>
      <c r="F138" s="45"/>
      <c r="G138" s="44"/>
      <c r="H138" s="44"/>
      <c r="I138" s="45"/>
      <c r="J138" s="44"/>
      <c r="K138" s="44"/>
      <c r="L138" s="44"/>
      <c r="M138" s="44"/>
      <c r="P138" s="45"/>
      <c r="Q138" s="45"/>
      <c r="R138" s="45"/>
    </row>
    <row r="139" spans="4:18">
      <c r="D139" s="44"/>
      <c r="E139" s="44"/>
      <c r="F139" s="45"/>
      <c r="G139" s="44"/>
      <c r="H139" s="44"/>
      <c r="I139" s="45"/>
      <c r="J139" s="44"/>
      <c r="K139" s="44"/>
      <c r="L139" s="44"/>
      <c r="M139" s="44"/>
      <c r="P139" s="45"/>
      <c r="Q139" s="45"/>
      <c r="R139" s="45"/>
    </row>
    <row r="140" spans="4:18">
      <c r="D140" s="44"/>
      <c r="E140" s="44"/>
      <c r="F140" s="45"/>
      <c r="G140" s="44"/>
      <c r="H140" s="44"/>
      <c r="I140" s="45"/>
      <c r="J140" s="44"/>
      <c r="K140" s="44"/>
      <c r="L140" s="44"/>
      <c r="M140" s="44"/>
      <c r="P140" s="45"/>
      <c r="Q140" s="45"/>
      <c r="R140" s="45"/>
    </row>
    <row r="141" spans="4:18">
      <c r="D141" s="44"/>
      <c r="E141" s="44"/>
      <c r="F141" s="45"/>
      <c r="G141" s="44"/>
      <c r="H141" s="44"/>
      <c r="I141" s="45"/>
      <c r="J141" s="44"/>
      <c r="K141" s="44"/>
      <c r="L141" s="44"/>
      <c r="M141" s="44"/>
      <c r="P141" s="45"/>
      <c r="Q141" s="45"/>
      <c r="R141" s="45"/>
    </row>
    <row r="142" spans="4:18">
      <c r="D142" s="44"/>
      <c r="E142" s="44"/>
      <c r="F142" s="45"/>
      <c r="G142" s="44"/>
      <c r="H142" s="44"/>
      <c r="I142" s="45"/>
      <c r="J142" s="44"/>
      <c r="K142" s="44"/>
      <c r="L142" s="44"/>
      <c r="M142" s="44"/>
      <c r="P142" s="45"/>
      <c r="Q142" s="45"/>
      <c r="R142" s="45"/>
    </row>
    <row r="143" spans="4:18">
      <c r="D143" s="44"/>
      <c r="E143" s="44"/>
      <c r="F143" s="45"/>
      <c r="G143" s="44"/>
      <c r="H143" s="44"/>
      <c r="I143" s="45"/>
      <c r="J143" s="44"/>
      <c r="K143" s="44"/>
      <c r="L143" s="44"/>
      <c r="M143" s="44"/>
      <c r="P143" s="45"/>
      <c r="Q143" s="45"/>
      <c r="R143" s="45"/>
    </row>
    <row r="144" spans="4:18">
      <c r="D144" s="44"/>
      <c r="E144" s="44"/>
      <c r="F144" s="45"/>
      <c r="G144" s="44"/>
      <c r="H144" s="44"/>
      <c r="I144" s="45"/>
      <c r="J144" s="44"/>
      <c r="K144" s="44"/>
      <c r="L144" s="44"/>
      <c r="M144" s="44"/>
      <c r="P144" s="45"/>
      <c r="Q144" s="45"/>
      <c r="R144" s="45"/>
    </row>
    <row r="145" spans="4:18">
      <c r="D145" s="44"/>
      <c r="E145" s="44"/>
      <c r="F145" s="45"/>
      <c r="G145" s="44"/>
      <c r="H145" s="44"/>
      <c r="I145" s="45"/>
      <c r="J145" s="44"/>
      <c r="K145" s="44"/>
      <c r="L145" s="44"/>
      <c r="M145" s="44"/>
      <c r="P145" s="45"/>
      <c r="Q145" s="45"/>
      <c r="R145" s="45"/>
    </row>
    <row r="146" spans="4:18">
      <c r="D146" s="44"/>
      <c r="E146" s="44"/>
      <c r="F146" s="45"/>
      <c r="G146" s="44"/>
      <c r="H146" s="44"/>
      <c r="I146" s="45"/>
      <c r="J146" s="44"/>
      <c r="K146" s="44"/>
      <c r="L146" s="44"/>
      <c r="M146" s="44"/>
      <c r="P146" s="45"/>
      <c r="Q146" s="45"/>
      <c r="R146" s="45"/>
    </row>
    <row r="147" spans="4:18">
      <c r="D147" s="44"/>
      <c r="E147" s="44"/>
      <c r="F147" s="45"/>
      <c r="G147" s="44"/>
      <c r="H147" s="44"/>
      <c r="I147" s="45"/>
      <c r="J147" s="44"/>
      <c r="K147" s="44"/>
      <c r="L147" s="44"/>
      <c r="M147" s="44"/>
      <c r="P147" s="45"/>
      <c r="Q147" s="45"/>
      <c r="R147" s="45"/>
    </row>
    <row r="148" spans="4:18">
      <c r="D148" s="44"/>
      <c r="E148" s="44"/>
      <c r="F148" s="45"/>
      <c r="G148" s="44"/>
      <c r="H148" s="44"/>
      <c r="I148" s="45"/>
      <c r="J148" s="44"/>
      <c r="K148" s="44"/>
      <c r="L148" s="44"/>
      <c r="M148" s="44"/>
      <c r="P148" s="45"/>
      <c r="Q148" s="45"/>
      <c r="R148" s="45"/>
    </row>
    <row r="149" spans="4:18">
      <c r="D149" s="44"/>
      <c r="E149" s="44"/>
      <c r="F149" s="45"/>
      <c r="G149" s="44"/>
      <c r="H149" s="44"/>
      <c r="I149" s="45"/>
      <c r="J149" s="44"/>
      <c r="K149" s="44"/>
      <c r="L149" s="44"/>
      <c r="M149" s="44"/>
      <c r="P149" s="45"/>
      <c r="Q149" s="45"/>
      <c r="R149" s="45"/>
    </row>
    <row r="150" spans="4:18">
      <c r="D150" s="44"/>
      <c r="E150" s="44"/>
      <c r="F150" s="45"/>
      <c r="G150" s="44"/>
      <c r="H150" s="44"/>
      <c r="I150" s="45"/>
      <c r="J150" s="44"/>
      <c r="K150" s="44"/>
      <c r="L150" s="44"/>
      <c r="M150" s="44"/>
      <c r="P150" s="45"/>
      <c r="Q150" s="45"/>
      <c r="R150" s="45"/>
    </row>
    <row r="151" spans="4:18">
      <c r="D151" s="44"/>
      <c r="E151" s="44"/>
      <c r="F151" s="45"/>
      <c r="G151" s="44"/>
      <c r="H151" s="44"/>
      <c r="I151" s="45"/>
      <c r="J151" s="44"/>
      <c r="K151" s="44"/>
      <c r="L151" s="44"/>
      <c r="M151" s="44"/>
      <c r="P151" s="45"/>
      <c r="Q151" s="45"/>
      <c r="R151" s="45"/>
    </row>
    <row r="152" spans="4:18">
      <c r="D152" s="44"/>
      <c r="E152" s="44"/>
      <c r="F152" s="45"/>
      <c r="G152" s="44"/>
      <c r="H152" s="44"/>
      <c r="I152" s="45"/>
      <c r="J152" s="44"/>
      <c r="K152" s="44"/>
      <c r="L152" s="44"/>
      <c r="M152" s="44"/>
      <c r="P152" s="45"/>
      <c r="Q152" s="45"/>
      <c r="R152" s="45"/>
    </row>
    <row r="153" spans="4:18">
      <c r="D153" s="44"/>
      <c r="E153" s="44"/>
      <c r="F153" s="45"/>
      <c r="G153" s="44"/>
      <c r="H153" s="44"/>
      <c r="I153" s="45"/>
      <c r="J153" s="44"/>
      <c r="K153" s="44"/>
      <c r="L153" s="44"/>
      <c r="M153" s="44"/>
      <c r="P153" s="45"/>
      <c r="Q153" s="45"/>
      <c r="R153" s="45"/>
    </row>
    <row r="154" spans="4:18">
      <c r="D154" s="44"/>
      <c r="E154" s="44"/>
      <c r="F154" s="45"/>
      <c r="G154" s="44"/>
      <c r="H154" s="44"/>
      <c r="I154" s="45"/>
      <c r="J154" s="44"/>
      <c r="K154" s="44"/>
      <c r="L154" s="44"/>
      <c r="M154" s="44"/>
      <c r="P154" s="45"/>
      <c r="Q154" s="45"/>
      <c r="R154" s="45"/>
    </row>
    <row r="155" spans="4:18">
      <c r="D155" s="44"/>
      <c r="E155" s="44"/>
      <c r="F155" s="45"/>
      <c r="G155" s="44"/>
      <c r="H155" s="44"/>
      <c r="I155" s="45"/>
      <c r="J155" s="44"/>
      <c r="K155" s="44"/>
      <c r="L155" s="44"/>
      <c r="M155" s="44"/>
      <c r="P155" s="45"/>
      <c r="Q155" s="45"/>
      <c r="R155" s="45"/>
    </row>
    <row r="156" spans="4:18">
      <c r="D156" s="44"/>
      <c r="E156" s="44"/>
      <c r="F156" s="45"/>
      <c r="G156" s="44"/>
      <c r="H156" s="44"/>
      <c r="I156" s="45"/>
      <c r="J156" s="44"/>
      <c r="K156" s="44"/>
      <c r="L156" s="44"/>
      <c r="M156" s="44"/>
      <c r="P156" s="45"/>
      <c r="Q156" s="45"/>
      <c r="R156" s="45"/>
    </row>
    <row r="157" spans="4:18">
      <c r="D157" s="44"/>
      <c r="E157" s="44"/>
      <c r="F157" s="45"/>
      <c r="G157" s="44"/>
      <c r="H157" s="44"/>
      <c r="I157" s="45"/>
      <c r="J157" s="44"/>
      <c r="K157" s="44"/>
      <c r="L157" s="44"/>
      <c r="M157" s="44"/>
      <c r="P157" s="45"/>
      <c r="Q157" s="45"/>
      <c r="R157" s="45"/>
    </row>
    <row r="158" spans="4:18">
      <c r="D158" s="44"/>
      <c r="E158" s="44"/>
      <c r="F158" s="45"/>
      <c r="G158" s="44"/>
      <c r="H158" s="44"/>
      <c r="I158" s="45"/>
      <c r="J158" s="44"/>
      <c r="K158" s="44"/>
      <c r="L158" s="44"/>
      <c r="M158" s="44"/>
      <c r="P158" s="45"/>
      <c r="Q158" s="45"/>
      <c r="R158" s="45"/>
    </row>
    <row r="159" spans="4:18">
      <c r="D159" s="44"/>
      <c r="E159" s="44"/>
      <c r="F159" s="45"/>
      <c r="G159" s="44"/>
      <c r="H159" s="44"/>
      <c r="I159" s="45"/>
      <c r="J159" s="44"/>
      <c r="K159" s="44"/>
      <c r="L159" s="44"/>
      <c r="M159" s="44"/>
      <c r="P159" s="45"/>
      <c r="Q159" s="45"/>
      <c r="R159" s="45"/>
    </row>
  </sheetData>
  <mergeCells count="1">
    <mergeCell ref="C2:N2"/>
  </mergeCell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0">
    <tabColor theme="8" tint="-0.249977111117893"/>
  </sheetPr>
  <dimension ref="A1:N45"/>
  <sheetViews>
    <sheetView zoomScale="46" zoomScaleNormal="55" workbookViewId="0">
      <selection activeCell="A15" sqref="A15:XFD130"/>
    </sheetView>
  </sheetViews>
  <sheetFormatPr baseColWidth="10" defaultColWidth="10.54296875" defaultRowHeight="14.5"/>
  <cols>
    <col min="1" max="1" width="16.54296875" style="20" customWidth="1"/>
    <col min="2" max="2" width="13.1796875" style="1" customWidth="1"/>
    <col min="3" max="3" width="45.81640625" style="47" customWidth="1"/>
    <col min="4" max="4" width="47" style="47" customWidth="1"/>
    <col min="5" max="5" width="18.54296875" style="47" customWidth="1"/>
    <col min="6" max="6" width="17.54296875" style="47" customWidth="1"/>
    <col min="7" max="7" width="22.54296875" style="47" customWidth="1"/>
    <col min="8" max="8" width="24.81640625" style="47" customWidth="1"/>
    <col min="9" max="9" width="26.81640625" style="47" customWidth="1"/>
    <col min="10" max="10" width="25.81640625" style="47" customWidth="1"/>
    <col min="11" max="11" width="26.453125" style="47" customWidth="1"/>
    <col min="12" max="12" width="22.1796875" style="47" customWidth="1"/>
    <col min="13" max="13" width="29.453125" style="47" customWidth="1"/>
    <col min="14" max="14" width="44.453125" style="47" customWidth="1"/>
    <col min="15" max="15" width="49.453125" style="1" customWidth="1"/>
    <col min="16" max="16384" width="10.54296875" style="1"/>
  </cols>
  <sheetData>
    <row r="1" spans="1:14" ht="57.75" customHeight="1">
      <c r="B1" s="20"/>
      <c r="C1" s="165"/>
      <c r="D1" s="165"/>
      <c r="E1" s="165"/>
      <c r="F1" s="165"/>
      <c r="G1" s="165"/>
      <c r="H1" s="165"/>
      <c r="I1" s="165"/>
      <c r="J1" s="165"/>
      <c r="K1" s="165"/>
    </row>
    <row r="2" spans="1:14" ht="11.15" customHeight="1"/>
    <row r="3" spans="1:14" ht="20.149999999999999" customHeight="1">
      <c r="C3" s="619" t="s">
        <v>1234</v>
      </c>
      <c r="D3" s="619"/>
      <c r="E3" s="619"/>
      <c r="F3" s="619"/>
      <c r="G3" s="619"/>
      <c r="H3" s="619"/>
      <c r="I3" s="619"/>
      <c r="J3" s="619"/>
      <c r="K3" s="619"/>
      <c r="L3" s="619"/>
      <c r="M3" s="619"/>
      <c r="N3" s="619"/>
    </row>
    <row r="5" spans="1:14">
      <c r="A5" s="21"/>
      <c r="B5" s="1" t="s">
        <v>1013</v>
      </c>
      <c r="C5" s="177" t="s">
        <v>18</v>
      </c>
      <c r="D5" s="177" t="s">
        <v>19</v>
      </c>
      <c r="E5" s="177" t="s">
        <v>20</v>
      </c>
      <c r="F5" s="177" t="s">
        <v>21</v>
      </c>
      <c r="G5" s="177" t="s">
        <v>22</v>
      </c>
      <c r="H5" s="177" t="s">
        <v>23</v>
      </c>
      <c r="I5" s="177" t="s">
        <v>24</v>
      </c>
      <c r="J5" s="177" t="s">
        <v>25</v>
      </c>
      <c r="K5" s="177" t="s">
        <v>26</v>
      </c>
      <c r="L5" s="177" t="s">
        <v>27</v>
      </c>
      <c r="M5" s="177" t="s">
        <v>28</v>
      </c>
      <c r="N5" s="177" t="s">
        <v>29</v>
      </c>
    </row>
    <row r="6" spans="1:14" ht="86.5" customHeight="1">
      <c r="B6" s="164">
        <v>116</v>
      </c>
      <c r="C6" s="135" t="str">
        <f>VLOOKUP(Tableau2[[#This Row],[Colonne1]],Tableau124[#All],2,FALSE)</f>
        <v>Jura (39)</v>
      </c>
      <c r="D6" s="135" t="str">
        <f>VLOOKUP(Tableau2[[#This Row],[Colonne1]],Tableau124[#All],3,FALSE)</f>
        <v>Arbois</v>
      </c>
      <c r="E6" s="135">
        <f>VLOOKUP(Tableau2[[#This Row],[Colonne1]],Tableau124[#All],4,FALSE)</f>
        <v>39600</v>
      </c>
      <c r="F6" s="135" t="str">
        <f>VLOOKUP(Tableau2[[#This Row],[Colonne1]],Tableau124[#All],5,FALSE)</f>
        <v>17 rue de l'Hôtel de ville, 39600 Arbois</v>
      </c>
      <c r="G6" s="135" t="str">
        <f>VLOOKUP(Tableau2[[#This Row],[Colonne1]],Tableau124[#All],6,FALSE)</f>
        <v>Antenne CSAPA</v>
      </c>
      <c r="H6" s="135" t="str">
        <f>VLOOKUP(Tableau2[[#This Row],[Colonne1]],Tableau124[#All],7,FALSE)</f>
        <v>CSAPA de l'ADLCA</v>
      </c>
      <c r="I6" s="135" t="str">
        <f>VLOOKUP(Tableau2[[#This Row],[Colonne1]],Tableau124[#All],8,FALSE)</f>
        <v>Associatif</v>
      </c>
      <c r="J6" s="269" t="str">
        <f>VLOOKUP(Tableau2[[#This Row],[Colonne1]],Tableau124[#All],9,FALSE)</f>
        <v>arbois@adlca.fr</v>
      </c>
      <c r="K6" s="199" t="str">
        <f>VLOOKUP(Tableau2[[#This Row],[Colonne1]],Tableau124[#All],10,FALSE)</f>
        <v>0384252612</v>
      </c>
      <c r="L6" s="273" t="str">
        <f>VLOOKUP(Tableau2[[#This Row],[Colonne1]],Tableau124[#All],11,FALSE)</f>
        <v>https://csapa-adlca.fr</v>
      </c>
      <c r="M6" s="96" t="str">
        <f>VLOOKUP(Tableau2[[#This Row],[Colonne1]],Tableau124[#All],12,FALSE)</f>
        <v>lundi au vendredi, 9h-17h30</v>
      </c>
      <c r="N6" s="166" t="str">
        <f>VLOOKUP(Tableau2[[#This Row],[Colonne1]],Tableau124[#All],13,FALSE)</f>
        <v xml:space="preserve">  </v>
      </c>
    </row>
    <row r="7" spans="1:14" ht="86.5" customHeight="1">
      <c r="B7" s="164">
        <v>160</v>
      </c>
      <c r="C7" s="135" t="str">
        <f>VLOOKUP(Tableau2[[#This Row],[Colonne1]],Tableau124[#All],2,FALSE)</f>
        <v>Saône-et-Loire (71)</v>
      </c>
      <c r="D7" s="135" t="str">
        <f>VLOOKUP(Tableau2[[#This Row],[Colonne1]],Tableau124[#All],3,FALSE)</f>
        <v>Autun</v>
      </c>
      <c r="E7" s="135">
        <f>VLOOKUP(Tableau2[[#This Row],[Colonne1]],Tableau124[#All],4,FALSE)</f>
        <v>71400</v>
      </c>
      <c r="F7" s="135" t="str">
        <f>VLOOKUP(Tableau2[[#This Row],[Colonne1]],Tableau124[#All],5,FALSE)</f>
        <v>15 rue deguin</v>
      </c>
      <c r="G7" s="135" t="str">
        <f>VLOOKUP(Tableau2[[#This Row],[Colonne1]],Tableau124[#All],6,FALSE)</f>
        <v>Antenne CSAPA</v>
      </c>
      <c r="H7" s="135" t="str">
        <f>VLOOKUP(Tableau2[[#This Row],[Colonne1]],Tableau124[#All],7,FALSE)</f>
        <v>Addictions France 71</v>
      </c>
      <c r="I7" s="135" t="str">
        <f>VLOOKUP(Tableau2[[#This Row],[Colonne1]],Tableau124[#All],8,FALSE)</f>
        <v>Associatif</v>
      </c>
      <c r="J7" s="269" t="str">
        <f>VLOOKUP(Tableau2[[#This Row],[Colonne1]],Tableau124[#All],9,FALSE)</f>
        <v>csapa.autun@addictions-france.org</v>
      </c>
      <c r="K7" s="199" t="str">
        <f>VLOOKUP(Tableau2[[#This Row],[Colonne1]],Tableau124[#All],10,FALSE)</f>
        <v>0385521490</v>
      </c>
      <c r="L7" s="273"/>
      <c r="M7" s="96" t="str">
        <f>VLOOKUP(Tableau2[[#This Row],[Colonne1]],Tableau124[#All],12,FALSE)</f>
        <v>Mardi 9h30 à 12h30 13h à 18h
Vendredi 9h30 à 12h30 et 13h à 16h</v>
      </c>
      <c r="N7" s="166"/>
    </row>
    <row r="8" spans="1:14" ht="86.5" customHeight="1">
      <c r="B8" s="164">
        <v>161</v>
      </c>
      <c r="C8" s="104" t="str">
        <f>VLOOKUP(Tableau2[[#This Row],[Colonne1]],Tableau124[#All],2,FALSE)</f>
        <v>Saône-et-Loire (71)</v>
      </c>
      <c r="D8" s="104" t="str">
        <f>VLOOKUP(Tableau2[[#This Row],[Colonne1]],Tableau124[#All],3,FALSE)</f>
        <v>Autun</v>
      </c>
      <c r="E8" s="104" t="str">
        <f>VLOOKUP(Tableau2[[#This Row],[Colonne1]],Tableau124[#All],4,FALSE)</f>
        <v>71400</v>
      </c>
      <c r="F8" s="104" t="str">
        <f>VLOOKUP(Tableau2[[#This Row],[Colonne1]],Tableau124[#All],5,FALSE)</f>
        <v xml:space="preserve">7bis rue de parpas </v>
      </c>
      <c r="G8" s="104" t="str">
        <f>VLOOKUP(Tableau2[[#This Row],[Colonne1]],Tableau124[#All],6,FALSE)</f>
        <v>Consultations Hospitalières externes d'addictologie</v>
      </c>
      <c r="H8" s="104" t="str">
        <f>VLOOKUP(Tableau2[[#This Row],[Colonne1]],Tableau124[#All],7,FALSE)</f>
        <v>CH Autun</v>
      </c>
      <c r="I8" s="104" t="str">
        <f>VLOOKUP(Tableau2[[#This Row],[Colonne1]],Tableau124[#All],8,FALSE)</f>
        <v>Public</v>
      </c>
      <c r="J8" s="264" t="str">
        <f>VLOOKUP(Tableau2[[#This Row],[Colonne1]],Tableau124[#All],9,FALSE)</f>
        <v>http://ch-autun.fr/contact/@ch-autun.fr</v>
      </c>
      <c r="K8" s="200" t="str">
        <f>VLOOKUP(Tableau2[[#This Row],[Colonne1]],Tableau124[#All],10,FALSE)</f>
        <v>03 85 86 84 84</v>
      </c>
      <c r="L8" s="273" t="str">
        <f>VLOOKUP(Tableau2[[#This Row],[Colonne1]],Tableau124[#All],11,FALSE)</f>
        <v xml:space="preserve"> </v>
      </c>
      <c r="M8" s="122" t="str">
        <f>VLOOKUP(Tableau2[[#This Row],[Colonne1]],Tableau124[#All],12,FALSE)</f>
        <v>lundi matin, mercredi matin un jeudi sur deux</v>
      </c>
      <c r="N8" s="377" t="str">
        <f>VLOOKUP(Tableau2[[#This Row],[Colonne1]],Tableau124[#All],13,FALSE)</f>
        <v>Intervention auprès de public majeurs et mineurs</v>
      </c>
    </row>
    <row r="9" spans="1:14" ht="86.5" customHeight="1">
      <c r="B9" s="164">
        <v>208</v>
      </c>
      <c r="C9" s="171" t="str">
        <f>VLOOKUP(Tableau2[[#This Row],[Colonne1]],Tableau124[#All],2,FALSE)</f>
        <v>Yonne (89)</v>
      </c>
      <c r="D9" s="171" t="str">
        <f>VLOOKUP(Tableau2[[#This Row],[Colonne1]],Tableau124[#All],3,FALSE)</f>
        <v>Auxerre</v>
      </c>
      <c r="E9" s="171" t="str">
        <f>VLOOKUP(Tableau2[[#This Row],[Colonne1]],Tableau124[#All],4,FALSE)</f>
        <v>89000</v>
      </c>
      <c r="F9" s="171" t="str">
        <f>VLOOKUP(Tableau2[[#This Row],[Colonne1]],Tableau124[#All],5,FALSE)</f>
        <v>8 Rue Colonel Rozanoff</v>
      </c>
      <c r="G9" s="171" t="str">
        <f>VLOOKUP(Tableau2[[#This Row],[Colonne1]],Tableau124[#All],6,FALSE)</f>
        <v>CAARUD</v>
      </c>
      <c r="H9" s="171" t="str">
        <f>VLOOKUP(Tableau2[[#This Row],[Colonne1]],Tableau124[#All],7,FALSE)</f>
        <v>CAARUD Addictions France</v>
      </c>
      <c r="I9" s="171" t="str">
        <f>VLOOKUP(Tableau2[[#This Row],[Colonne1]],Tableau124[#All],8,FALSE)</f>
        <v>Associatif</v>
      </c>
      <c r="J9" s="384" t="str">
        <f>VLOOKUP(Tableau2[[#This Row],[Colonne1]],Tableau124[#All],9,FALSE)</f>
        <v>caarud.auxerre@addictions-france.org</v>
      </c>
      <c r="K9" s="201" t="str">
        <f>VLOOKUP(Tableau2[[#This Row],[Colonne1]],Tableau124[#All],10,FALSE)</f>
        <v>03.86.33.76.41</v>
      </c>
      <c r="L9" s="297" t="str">
        <f>VLOOKUP(Tableau2[[#This Row],[Colonne1]],Tableau124[#All],11,FALSE)</f>
        <v>www.addictions-france.org</v>
      </c>
      <c r="M9" s="172" t="str">
        <f>VLOOKUP(Tableau2[[#This Row],[Colonne1]],Tableau124[#All],12,FALSE)</f>
        <v xml:space="preserve"> lundi mardi et jeudi 9h30-13h / 13h30-17h45
vendredi 9h-12h / 13h30-17h45 
fermé le mercredi</v>
      </c>
      <c r="N9" s="379" t="str">
        <f>VLOOKUP(Tableau2[[#This Row],[Colonne1]],Tableau124[#All],13,FALSE)</f>
        <v xml:space="preserve">- unité mobile pouvant servir de lieu d'accueil (déplacement sur tout le département) ; 
- intervention en maraude ; 
- programme d'échange de seringues ;
- intervention en milieu festif. </v>
      </c>
    </row>
    <row r="10" spans="1:14" ht="86.5" customHeight="1">
      <c r="B10" s="164">
        <v>210</v>
      </c>
      <c r="C10" s="104" t="str">
        <f>VLOOKUP(Tableau2[[#This Row],[Colonne1]],Tableau124[#All],2,FALSE)</f>
        <v>Yonne (89)</v>
      </c>
      <c r="D10" s="104" t="str">
        <f>VLOOKUP(Tableau2[[#This Row],[Colonne1]],Tableau124[#All],3,FALSE)</f>
        <v>Auxerre</v>
      </c>
      <c r="E10" s="104" t="str">
        <f>VLOOKUP(Tableau2[[#This Row],[Colonne1]],Tableau124[#All],4,FALSE)</f>
        <v>89000</v>
      </c>
      <c r="F10" s="104" t="str">
        <f>VLOOKUP(Tableau2[[#This Row],[Colonne1]],Tableau124[#All],5,FALSE)</f>
        <v>2, boulevard de Verdun</v>
      </c>
      <c r="G10" s="104" t="str">
        <f>VLOOKUP(Tableau2[[#This Row],[Colonne1]],Tableau124[#All],6,FALSE)</f>
        <v>Consultations Hospitalières externes d'addictologie</v>
      </c>
      <c r="H10" s="104" t="str">
        <f>VLOOKUP(Tableau2[[#This Row],[Colonne1]],Tableau124[#All],7,FALSE)</f>
        <v>CENTRE HOSPITALIER d'AUXERRE</v>
      </c>
      <c r="I10" s="104" t="str">
        <f>VLOOKUP(Tableau2[[#This Row],[Colonne1]],Tableau124[#All],8,FALSE)</f>
        <v>Public</v>
      </c>
      <c r="J10" s="264" t="str">
        <f>VLOOKUP(Tableau2[[#This Row],[Colonne1]],Tableau124[#All],9,FALSE)</f>
        <v>scdag@ch-auxerre.fr</v>
      </c>
      <c r="K10" s="200" t="str">
        <f>VLOOKUP(Tableau2[[#This Row],[Colonne1]],Tableau124[#All],10,FALSE)</f>
        <v>03-86-48-48-62</v>
      </c>
      <c r="L10" s="264" t="str">
        <f>VLOOKUP(Tableau2[[#This Row],[Colonne1]],Tableau124[#All],11,FALSE)</f>
        <v>https://www.ght-unyon.fr/</v>
      </c>
      <c r="M10" s="122" t="str">
        <f>VLOOKUP(Tableau2[[#This Row],[Colonne1]],Tableau124[#All],12,FALSE)</f>
        <v>Sur rendez vous du lundi au vendredi</v>
      </c>
      <c r="N10" s="377" t="str">
        <f>VLOOKUP(Tableau2[[#This Row],[Colonne1]],Tableau124[#All],13,FALSE)</f>
        <v>Intervention auprès de public majeurs et mineurs</v>
      </c>
    </row>
    <row r="11" spans="1:14" ht="86.5" customHeight="1">
      <c r="B11" s="164">
        <v>211</v>
      </c>
      <c r="C11" s="104" t="str">
        <f>VLOOKUP(Tableau2[[#This Row],[Colonne1]],Tableau124[#All],2,FALSE)</f>
        <v>Yonne (89)</v>
      </c>
      <c r="D11" s="104" t="str">
        <f>VLOOKUP(Tableau2[[#This Row],[Colonne1]],Tableau124[#All],3,FALSE)</f>
        <v>Auxerre</v>
      </c>
      <c r="E11" s="104" t="str">
        <f>VLOOKUP(Tableau2[[#This Row],[Colonne1]],Tableau124[#All],4,FALSE)</f>
        <v>89000</v>
      </c>
      <c r="F11" s="104" t="str">
        <f>VLOOKUP(Tableau2[[#This Row],[Colonne1]],Tableau124[#All],5,FALSE)</f>
        <v>4 Av. Pierre Scherrer</v>
      </c>
      <c r="G11" s="104" t="str">
        <f>VLOOKUP(Tableau2[[#This Row],[Colonne1]],Tableau124[#All],6,FALSE)</f>
        <v>Consultations Hospitalières externes d'addictologie</v>
      </c>
      <c r="H11" s="104" t="str">
        <f>VLOOKUP(Tableau2[[#This Row],[Colonne1]],Tableau124[#All],7,FALSE)</f>
        <v>CHS Yonne</v>
      </c>
      <c r="I11" s="104" t="str">
        <f>VLOOKUP(Tableau2[[#This Row],[Colonne1]],Tableau124[#All],8,FALSE)</f>
        <v>Public</v>
      </c>
      <c r="J11" s="264" t="str">
        <f>VLOOKUP(Tableau2[[#This Row],[Colonne1]],Tableau124[#All],9,FALSE)</f>
        <v>secteur3@chs-yonne.fr</v>
      </c>
      <c r="K11" s="200" t="str">
        <f>VLOOKUP(Tableau2[[#This Row],[Colonne1]],Tableau124[#All],10,FALSE)</f>
        <v>03 86 94 38 71</v>
      </c>
      <c r="L11" s="264" t="str">
        <f>VLOOKUP(Tableau2[[#This Row],[Colonne1]],Tableau124[#All],11,FALSE)</f>
        <v>http://www.chs-yonne.fr/</v>
      </c>
      <c r="M11" s="122" t="str">
        <f>VLOOKUP(Tableau2[[#This Row],[Colonne1]],Tableau124[#All],12,FALSE)</f>
        <v>du lundi au vendredi de 09:00 à 16:30</v>
      </c>
      <c r="N11" s="377" t="str">
        <f>VLOOKUP(Tableau2[[#This Row],[Colonne1]],Tableau124[#All],13,FALSE)</f>
        <v xml:space="preserve">Intervention auprès de public majeurs </v>
      </c>
    </row>
    <row r="12" spans="1:14" ht="86.5" customHeight="1">
      <c r="B12" s="164">
        <v>213</v>
      </c>
      <c r="C12" s="135" t="str">
        <f>VLOOKUP(Tableau2[[#This Row],[Colonne1]],Tableau124[#All],2,FALSE)</f>
        <v>Yonne (89)</v>
      </c>
      <c r="D12" s="135" t="str">
        <f>VLOOKUP(Tableau2[[#This Row],[Colonne1]],Tableau124[#All],3,FALSE)</f>
        <v>Auxerre</v>
      </c>
      <c r="E12" s="135" t="str">
        <f>VLOOKUP(Tableau2[[#This Row],[Colonne1]],Tableau124[#All],4,FALSE)</f>
        <v>89000</v>
      </c>
      <c r="F12" s="135" t="str">
        <f>VLOOKUP(Tableau2[[#This Row],[Colonne1]],Tableau124[#All],5,FALSE)</f>
        <v>8 Rue Colonel Rozanoff</v>
      </c>
      <c r="G12" s="135" t="str">
        <f>VLOOKUP(Tableau2[[#This Row],[Colonne1]],Tableau124[#All],6,FALSE)</f>
        <v>CSAPA</v>
      </c>
      <c r="H12" s="135" t="str">
        <f>VLOOKUP(Tableau2[[#This Row],[Colonne1]],Tableau124[#All],7,FALSE)</f>
        <v>CSAPA - Association Addictions France</v>
      </c>
      <c r="I12" s="135" t="str">
        <f>VLOOKUP(Tableau2[[#This Row],[Colonne1]],Tableau124[#All],8,FALSE)</f>
        <v>Associatif</v>
      </c>
      <c r="J12" s="269" t="str">
        <f>VLOOKUP(Tableau2[[#This Row],[Colonne1]],Tableau124[#All],9,FALSE)</f>
        <v>bfc89@addictions-france.org</v>
      </c>
      <c r="K12" s="199" t="str">
        <f>VLOOKUP(Tableau2[[#This Row],[Colonne1]],Tableau124[#All],10,FALSE)</f>
        <v>03.86.51.46.99</v>
      </c>
      <c r="L12" s="269" t="str">
        <f>VLOOKUP(Tableau2[[#This Row],[Colonne1]],Tableau124[#All],11,FALSE)</f>
        <v>www.addictions-france.org</v>
      </c>
      <c r="M12" s="96" t="str">
        <f>VLOOKUP(Tableau2[[#This Row],[Colonne1]],Tableau124[#All],12,FALSE)</f>
        <v>Lundi 9h-13h / 13h30-18h
Mardi 8h30-13h / 13h30-19h
Mercredi 8h30-13h / 13h30-18h
Jeudi 9h-13h / 13h30-19h
Vendredi 8h30-13h / 13h30-16h30</v>
      </c>
      <c r="N12" s="462" t="str">
        <f>VLOOKUP(Tableau2[[#This Row],[Colonne1]],Tableau124[#All],13,FALSE)</f>
        <v>Permanences présentes à Migennes, Saint Florentin, Tonnerre, Toucy, Saint Sauveur, Charny, Bléneau et Joigny)
- intervention en milieu pénitentiaire à la maison d'arrêt d'Auxerre et au Centre de détention de Joux-la-Ville ;
- mise à disposition de matériel de consommation à moindre risque ;
- proposition de test rapide d'orientation diagnostic (TROD) ; 
- dispositifs anti-overdose à disposition ; 
- présence d'une CJC.
CJC Avancées qui dépendent du CSAPA d'Auxerre : Lycée Louis Davier (Joigny), EREA Jules Verne (Joigny) Collège marie Noel (Joigny), Collège Jacques Prévert (Migennes), Collège Philippe Cousteau (Brienon), Cité scolaire Pierre Larousse (Toucy), Collège Jean-Roch (Courson les carrières), Collège de Puisaye (St Fargeau), Collège Colette (St Sauveur en Puisaye), MFR Toucy, Collège Michel Gondry (Charny)</v>
      </c>
    </row>
    <row r="13" spans="1:14" ht="86.5" customHeight="1">
      <c r="B13" s="164">
        <v>214</v>
      </c>
      <c r="C13" s="135" t="str">
        <f>VLOOKUP(Tableau2[[#This Row],[Colonne1]],Tableau124[#All],2,FALSE)</f>
        <v>Yonne (89)</v>
      </c>
      <c r="D13" s="135" t="str">
        <f>VLOOKUP(Tableau2[[#This Row],[Colonne1]],Tableau124[#All],3,FALSE)</f>
        <v>Auxerre</v>
      </c>
      <c r="E13" s="135">
        <f>VLOOKUP(Tableau2[[#This Row],[Colonne1]],Tableau124[#All],4,FALSE)</f>
        <v>89000</v>
      </c>
      <c r="F13" s="135" t="str">
        <f>VLOOKUP(Tableau2[[#This Row],[Colonne1]],Tableau124[#All],5,FALSE)</f>
        <v>CHRS 4 rue Thomas Ancel</v>
      </c>
      <c r="G13" s="135" t="str">
        <f>VLOOKUP(Tableau2[[#This Row],[Colonne1]],Tableau124[#All],6,FALSE)</f>
        <v>CSAPA (consultations avancées)</v>
      </c>
      <c r="H13" s="135" t="str">
        <f>VLOOKUP(Tableau2[[#This Row],[Colonne1]],Tableau124[#All],7,FALSE)</f>
        <v>CSAPA - Association Addictions France - consultations avancées</v>
      </c>
      <c r="I13" s="135" t="str">
        <f>VLOOKUP(Tableau2[[#This Row],[Colonne1]],Tableau124[#All],8,FALSE)</f>
        <v>Associatif</v>
      </c>
      <c r="J13" s="385" t="str">
        <f>VLOOKUP(Tableau2[[#This Row],[Colonne1]],Tableau124[#All],9,FALSE)</f>
        <v>bfc89@addictions-france.org</v>
      </c>
      <c r="K13" s="376" t="str">
        <f>VLOOKUP(Tableau2[[#This Row],[Colonne1]],Tableau124[#All],10,FALSE)</f>
        <v>03.86.51.46.99</v>
      </c>
      <c r="L13" s="385" t="str">
        <f>VLOOKUP(Tableau2[[#This Row],[Colonne1]],Tableau124[#All],11,FALSE)</f>
        <v>www.addictions-france.org</v>
      </c>
      <c r="M13" s="372" t="str">
        <f>VLOOKUP(Tableau2[[#This Row],[Colonne1]],Tableau124[#All],12,FALSE)</f>
        <v>jeudi matin 9h-13h</v>
      </c>
      <c r="N13" s="373" t="str">
        <f>VLOOKUP(Tableau2[[#This Row],[Colonne1]],Tableau124[#All],13,FALSE)</f>
        <v>Réalisation de consultations avancées</v>
      </c>
    </row>
    <row r="14" spans="1:14" ht="86.5" customHeight="1">
      <c r="B14" s="164">
        <v>209</v>
      </c>
      <c r="C14" s="392" t="str">
        <f>VLOOKUP(Tableau2[[#This Row],[Colonne1]],Tableau124[#All],2,FALSE)</f>
        <v>Yonne (89)</v>
      </c>
      <c r="D14" s="392" t="str">
        <f>VLOOKUP(Tableau2[[#This Row],[Colonne1]],Tableau124[#All],3,FALSE)</f>
        <v>Auxerre</v>
      </c>
      <c r="E14" s="392" t="str">
        <f>VLOOKUP(Tableau2[[#This Row],[Colonne1]],Tableau124[#All],4,FALSE)</f>
        <v>89000</v>
      </c>
      <c r="F14" s="392" t="str">
        <f>VLOOKUP(Tableau2[[#This Row],[Colonne1]],Tableau124[#All],5,FALSE)</f>
        <v>8 Rue Colonel Rozanoff</v>
      </c>
      <c r="G14" s="392" t="str">
        <f>VLOOKUP(Tableau2[[#This Row],[Colonne1]],Tableau124[#All],6,FALSE)</f>
        <v>CJC</v>
      </c>
      <c r="H14" s="392" t="str">
        <f>VLOOKUP(Tableau2[[#This Row],[Colonne1]],Tableau124[#All],7,FALSE)</f>
        <v>CSAPA - Association Addictions France</v>
      </c>
      <c r="I14" s="392" t="str">
        <f>VLOOKUP(Tableau2[[#This Row],[Colonne1]],Tableau124[#All],8,FALSE)</f>
        <v>Associatif</v>
      </c>
      <c r="J14" s="395" t="str">
        <f>VLOOKUP(Tableau2[[#This Row],[Colonne1]],Tableau124[#All],9,FALSE)</f>
        <v>bfc89@addictions-france.org</v>
      </c>
      <c r="K14" s="396" t="str">
        <f>VLOOKUP(Tableau2[[#This Row],[Colonne1]],Tableau124[#All],10,FALSE)</f>
        <v>03.86.51.46.99</v>
      </c>
      <c r="L14" s="395" t="str">
        <f>VLOOKUP(Tableau2[[#This Row],[Colonne1]],Tableau124[#All],11,FALSE)</f>
        <v>www.addictions-france.org</v>
      </c>
      <c r="M14" s="397" t="str">
        <f>VLOOKUP(Tableau2[[#This Row],[Colonne1]],Tableau124[#All],12,FALSE)</f>
        <v>Auxerre
Mercredi de 11h30 à 17h30
Lundi de 17h à 18h
vendredi de 13h30 à 16h30
Sens
Mercredi de 9h30 à 17h
Vendredi de 13h30 à 17h</v>
      </c>
      <c r="N14" s="400" t="str">
        <f>VLOOKUP(Tableau2[[#This Row],[Colonne1]],Tableau124[#All],13,FALSE)</f>
        <v xml:space="preserve">- Accueil des familles ; 
- Orientation sur rendez-vous ;
- CJC accessible à la famille et l'entourage ; 
- locaux identiques à ceux du CSAPA. </v>
      </c>
    </row>
    <row r="15" spans="1:14" ht="58">
      <c r="B15" s="164">
        <v>79</v>
      </c>
      <c r="C15" s="135" t="str">
        <f>VLOOKUP(Tableau2[[#This Row],[Colonne1]],Tableau124[#All],2,FALSE)</f>
        <v>Doubs (25)</v>
      </c>
      <c r="D15" s="135" t="str">
        <f>VLOOKUP(Tableau2[[#This Row],[Colonne1]],Tableau124[#All],3,FALSE)</f>
        <v>Pontarlier</v>
      </c>
      <c r="E15" s="135" t="str">
        <f>VLOOKUP(Tableau2[[#This Row],[Colonne1]],Tableau124[#All],4,FALSE)</f>
        <v>25300</v>
      </c>
      <c r="F15" s="135" t="str">
        <f>VLOOKUP(Tableau2[[#This Row],[Colonne1]],Tableau124[#All],5,FALSE)</f>
        <v>2 faubourg Saint Etienne 25300 PONTARLIER</v>
      </c>
      <c r="G15" s="135" t="str">
        <f>VLOOKUP(Tableau2[[#This Row],[Colonne1]],Tableau124[#All],6,FALSE)</f>
        <v>CSAPA</v>
      </c>
      <c r="H15" s="135" t="str">
        <f>VLOOKUP(Tableau2[[#This Row],[Colonne1]],Tableau124[#All],7,FALSE)</f>
        <v>CSAPA CHI-HC</v>
      </c>
      <c r="I15" s="135" t="str">
        <f>VLOOKUP(Tableau2[[#This Row],[Colonne1]],Tableau124[#All],8,FALSE)</f>
        <v>Public</v>
      </c>
      <c r="J15" s="383" t="str">
        <f>VLOOKUP(Tableau2[[#This Row],[Colonne1]],Tableau124[#All],9,FALSE)</f>
        <v>csapa@chi-hc.fr</v>
      </c>
      <c r="K15" s="375" t="str">
        <f>VLOOKUP(Tableau2[[#This Row],[Colonne1]],Tableau124[#All],10,FALSE)</f>
        <v>03 81 38 53 64</v>
      </c>
      <c r="L15" s="273" t="str">
        <f>VLOOKUP(Tableau2[[#This Row],[Colonne1]],Tableau124[#All],11,FALSE)</f>
        <v xml:space="preserve"> </v>
      </c>
      <c r="M15" s="167" t="str">
        <f>VLOOKUP(Tableau2[[#This Row],[Colonne1]],Tableau124[#All],12,FALSE)</f>
        <v>Lundi-Mardi-Jeudi de 8 heures à 19 heures 
Mercredi et Vendredi de 8 heures à 16 heures</v>
      </c>
      <c r="N15" s="380" t="str">
        <f>VLOOKUP(Tableau2[[#This Row],[Colonne1]],Tableau124[#All],13,FALSE)</f>
        <v>- réalisation de consultations avancées sur Morteau ;
- présence d'une CJC</v>
      </c>
    </row>
    <row r="16" spans="1:14" ht="58">
      <c r="B16" s="164">
        <v>76</v>
      </c>
      <c r="C16" s="392" t="str">
        <f>VLOOKUP(Tableau2[[#This Row],[Colonne1]],Tableau124[#All],2,FALSE)</f>
        <v>Doubs (25)</v>
      </c>
      <c r="D16" s="392" t="str">
        <f>VLOOKUP(Tableau2[[#This Row],[Colonne1]],Tableau124[#All],3,FALSE)</f>
        <v>Pontarlier</v>
      </c>
      <c r="E16" s="392" t="str">
        <f>VLOOKUP(Tableau2[[#This Row],[Colonne1]],Tableau124[#All],4,FALSE)</f>
        <v>25300</v>
      </c>
      <c r="F16" s="392" t="str">
        <f>VLOOKUP(Tableau2[[#This Row],[Colonne1]],Tableau124[#All],5,FALSE)</f>
        <v>2 Fbg Saint-Etienne</v>
      </c>
      <c r="G16" s="392" t="str">
        <f>VLOOKUP(Tableau2[[#This Row],[Colonne1]],Tableau124[#All],6,FALSE)</f>
        <v>CJC</v>
      </c>
      <c r="H16" s="392" t="str">
        <f>VLOOKUP(Tableau2[[#This Row],[Colonne1]],Tableau124[#All],7,FALSE)</f>
        <v>CSAPA CHI-HC</v>
      </c>
      <c r="I16" s="392" t="str">
        <f>VLOOKUP(Tableau2[[#This Row],[Colonne1]],Tableau124[#All],8,FALSE)</f>
        <v>Public</v>
      </c>
      <c r="J16" s="398" t="str">
        <f>VLOOKUP(Tableau2[[#This Row],[Colonne1]],Tableau124[#All],9,FALSE)</f>
        <v>csapa@chi-hc.fr</v>
      </c>
      <c r="K16" s="393" t="str">
        <f>VLOOKUP(Tableau2[[#This Row],[Colonne1]],Tableau124[#All],10,FALSE)</f>
        <v>03 81 38 53 64</v>
      </c>
      <c r="L16" s="458" t="str">
        <f>VLOOKUP(Tableau2[[#This Row],[Colonne1]],Tableau124[#All],11,FALSE)</f>
        <v xml:space="preserve"> </v>
      </c>
      <c r="M16" s="399" t="str">
        <f>VLOOKUP(Tableau2[[#This Row],[Colonne1]],Tableau124[#All],12,FALSE)</f>
        <v>Lundi/mardi/jeudi de 8h à19h
 et les mercredis/vendredi de 8h à 16h.</v>
      </c>
      <c r="N16" s="400" t="str">
        <f>VLOOKUP(Tableau2[[#This Row],[Colonne1]],Tableau124[#All],13,FALSE)</f>
        <v xml:space="preserve">- Accueil des familles ; 
- Orientation sur rendez-vous ;
- CJC accessible à la famille et l'entourage ; 
- locaux identiques à ceux du CSAPA. </v>
      </c>
    </row>
    <row r="17" spans="1:14" ht="58">
      <c r="B17" s="164">
        <v>80</v>
      </c>
      <c r="C17" s="135" t="str">
        <f>VLOOKUP(Tableau2[[#This Row],[Colonne1]],Tableau124[#All],2,FALSE)</f>
        <v>Doubs (25)</v>
      </c>
      <c r="D17" s="135" t="str">
        <f>VLOOKUP(Tableau2[[#This Row],[Colonne1]],Tableau124[#All],3,FALSE)</f>
        <v>Pontarlier</v>
      </c>
      <c r="E17" s="135">
        <f>VLOOKUP(Tableau2[[#This Row],[Colonne1]],Tableau124[#All],4,FALSE)</f>
        <v>25300</v>
      </c>
      <c r="F17" s="135" t="str">
        <f>VLOOKUP(Tableau2[[#This Row],[Colonne1]],Tableau124[#All],5,FALSE)</f>
        <v>Maison de santé de Pontarlier, 16  rue De la Fontaine</v>
      </c>
      <c r="G17" s="135" t="str">
        <f>VLOOKUP(Tableau2[[#This Row],[Colonne1]],Tableau124[#All],6,FALSE)</f>
        <v>CSAPA (consultations avancées)</v>
      </c>
      <c r="H17" s="135" t="str">
        <f>VLOOKUP(Tableau2[[#This Row],[Colonne1]],Tableau124[#All],7,FALSE)</f>
        <v>CSAPA de Besançon - Association Addictions France - consultations avancées</v>
      </c>
      <c r="I17" s="135" t="str">
        <f>VLOOKUP(Tableau2[[#This Row],[Colonne1]],Tableau124[#All],8,FALSE)</f>
        <v>Associatif</v>
      </c>
      <c r="J17" s="383" t="str">
        <f>VLOOKUP(Tableau2[[#This Row],[Colonne1]],Tableau124[#All],9,FALSE)</f>
        <v>csapa.besancon@addictions-france.org</v>
      </c>
      <c r="K17" s="375" t="str">
        <f>VLOOKUP(Tableau2[[#This Row],[Colonne1]],Tableau124[#All],10,FALSE)</f>
        <v>03.81.83.22.75</v>
      </c>
      <c r="L17" s="383" t="str">
        <f>VLOOKUP(Tableau2[[#This Row],[Colonne1]],Tableau124[#All],11,FALSE)</f>
        <v>www.addictions-france.org</v>
      </c>
      <c r="M17" s="167" t="str">
        <f>VLOOKUP(Tableau2[[#This Row],[Colonne1]],Tableau124[#All],12,FALSE)</f>
        <v>Mardi de 9h30 à 16h30</v>
      </c>
      <c r="N17" s="378" t="str">
        <f>VLOOKUP(Tableau2[[#This Row],[Colonne1]],Tableau124[#All],13,FALSE)</f>
        <v>Réalisation de consultations avancées</v>
      </c>
    </row>
    <row r="18" spans="1:14" ht="58">
      <c r="B18" s="164">
        <v>83</v>
      </c>
      <c r="C18" s="135" t="str">
        <f>VLOOKUP(Tableau2[[#This Row],[Colonne1]],Tableau124[#All],2,FALSE)</f>
        <v>Doubs (25)</v>
      </c>
      <c r="D18" s="135" t="str">
        <f>VLOOKUP(Tableau2[[#This Row],[Colonne1]],Tableau124[#All],3,FALSE)</f>
        <v>Quingey</v>
      </c>
      <c r="E18" s="135">
        <f>VLOOKUP(Tableau2[[#This Row],[Colonne1]],Tableau124[#All],4,FALSE)</f>
        <v>25440</v>
      </c>
      <c r="F18" s="135" t="str">
        <f>VLOOKUP(Tableau2[[#This Row],[Colonne1]],Tableau124[#All],5,FALSE)</f>
        <v>Mairie de Quingey, 1 place d'armes</v>
      </c>
      <c r="G18" s="135" t="str">
        <f>VLOOKUP(Tableau2[[#This Row],[Colonne1]],Tableau124[#All],6,FALSE)</f>
        <v>CSAPA (consultations avancées)</v>
      </c>
      <c r="H18" s="135" t="str">
        <f>VLOOKUP(Tableau2[[#This Row],[Colonne1]],Tableau124[#All],7,FALSE)</f>
        <v>CSAPA de Besançon - Association Addictions France- consultations avancées</v>
      </c>
      <c r="I18" s="135" t="str">
        <f>VLOOKUP(Tableau2[[#This Row],[Colonne1]],Tableau124[#All],8,FALSE)</f>
        <v>Associatif</v>
      </c>
      <c r="J18" s="383" t="str">
        <f>VLOOKUP(Tableau2[[#This Row],[Colonne1]],Tableau124[#All],9,FALSE)</f>
        <v>csapa.besancon@addictions-france.org</v>
      </c>
      <c r="K18" s="375" t="str">
        <f>VLOOKUP(Tableau2[[#This Row],[Colonne1]],Tableau124[#All],10,FALSE)</f>
        <v>03.81.83.22.77</v>
      </c>
      <c r="L18" s="269" t="str">
        <f>VLOOKUP(Tableau2[[#This Row],[Colonne1]],Tableau124[#All],11,FALSE)</f>
        <v>www.addictions-france.org</v>
      </c>
      <c r="M18" s="96" t="str">
        <f>VLOOKUP(Tableau2[[#This Row],[Colonne1]],Tableau124[#All],12,FALSE)</f>
        <v>Vendredi de 8h30 à 11h30</v>
      </c>
      <c r="N18" s="378" t="str">
        <f>VLOOKUP(Tableau2[[#This Row],[Colonne1]],Tableau124[#All],13,FALSE)</f>
        <v>Réalisation de consultations avancées</v>
      </c>
    </row>
    <row r="19" spans="1:14" ht="43.5">
      <c r="B19" s="164">
        <v>102</v>
      </c>
      <c r="C19" s="372" t="str">
        <f>VLOOKUP(Tableau2[[#This Row],[Colonne1]],Tableau124[#All],2,FALSE)</f>
        <v>Haute-Saône (70)</v>
      </c>
      <c r="D19" s="372" t="str">
        <f>VLOOKUP(Tableau2[[#This Row],[Colonne1]],Tableau124[#All],3,FALSE)</f>
        <v>Rioz</v>
      </c>
      <c r="E19" s="372">
        <f>VLOOKUP(Tableau2[[#This Row],[Colonne1]],Tableau124[#All],4,FALSE)</f>
        <v>70190</v>
      </c>
      <c r="F19" s="135" t="str">
        <f>VLOOKUP(Tableau2[[#This Row],[Colonne1]],Tableau124[#All],5,FALSE)</f>
        <v>CMS - Rue du Clair Soleil</v>
      </c>
      <c r="G19" s="372" t="str">
        <f>VLOOKUP(Tableau2[[#This Row],[Colonne1]],Tableau124[#All],6,FALSE)</f>
        <v>CSAPA (consultations avancées)</v>
      </c>
      <c r="H19" s="372" t="str">
        <f>VLOOKUP(Tableau2[[#This Row],[Colonne1]],Tableau124[#All],7,FALSE)</f>
        <v>Association Addictions France en Haute-Saône - consultations avancées</v>
      </c>
      <c r="I19" s="372" t="str">
        <f>VLOOKUP(Tableau2[[#This Row],[Colonne1]],Tableau124[#All],8,FALSE)</f>
        <v>Associatif</v>
      </c>
      <c r="J19" s="383" t="str">
        <f>VLOOKUP(Tableau2[[#This Row],[Colonne1]],Tableau124[#All],9,FALSE)</f>
        <v>csapa.vesoul@addictions-france.org</v>
      </c>
      <c r="K19" s="375" t="str">
        <f>VLOOKUP(Tableau2[[#This Row],[Colonne1]],Tableau124[#All],10,FALSE)</f>
        <v>03-84-76-75-75</v>
      </c>
      <c r="L19" s="383" t="str">
        <f>VLOOKUP(Tableau2[[#This Row],[Colonne1]],Tableau124[#All],11,FALSE)</f>
        <v>https://addictions-france.org</v>
      </c>
      <c r="M19" s="167" t="str">
        <f>VLOOKUP(Tableau2[[#This Row],[Colonne1]],Tableau124[#All],12,FALSE)</f>
        <v>Jeudi 13h30-17h (1 fois par mois)</v>
      </c>
      <c r="N19" s="378" t="str">
        <f>VLOOKUP(Tableau2[[#This Row],[Colonne1]],Tableau124[#All],13,FALSE)</f>
        <v>Réalisation de consultations avancées</v>
      </c>
    </row>
    <row r="20" spans="1:14" ht="116">
      <c r="B20" s="164">
        <v>137</v>
      </c>
      <c r="C20" s="372" t="str">
        <f>VLOOKUP(Tableau2[[#This Row],[Colonne1]],Tableau124[#All],2,FALSE)</f>
        <v>Jura (39)</v>
      </c>
      <c r="D20" s="372" t="str">
        <f>VLOOKUP(Tableau2[[#This Row],[Colonne1]],Tableau124[#All],3,FALSE)</f>
        <v>Saint-Claude</v>
      </c>
      <c r="E20" s="372">
        <f>VLOOKUP(Tableau2[[#This Row],[Colonne1]],Tableau124[#All],4,FALSE)</f>
        <v>39200</v>
      </c>
      <c r="F20" s="372" t="str">
        <f>VLOOKUP(Tableau2[[#This Row],[Colonne1]],Tableau124[#All],5,FALSE)</f>
        <v>45 rue due Collège</v>
      </c>
      <c r="G20" s="372" t="str">
        <f>VLOOKUP(Tableau2[[#This Row],[Colonne1]],Tableau124[#All],6,FALSE)</f>
        <v>Antenne CSAPA</v>
      </c>
      <c r="H20" s="372" t="str">
        <f>VLOOKUP(Tableau2[[#This Row],[Colonne1]],Tableau124[#All],7,FALSE)</f>
        <v>CSAPA Oppelia Passerelle 39</v>
      </c>
      <c r="I20" s="372" t="str">
        <f>VLOOKUP(Tableau2[[#This Row],[Colonne1]],Tableau124[#All],8,FALSE)</f>
        <v>Associatif</v>
      </c>
      <c r="J20" s="383" t="str">
        <f>VLOOKUP(Tableau2[[#This Row],[Colonne1]],Tableau124[#All],9,FALSE)</f>
        <v>contactp39@oppelia.fr</v>
      </c>
      <c r="K20" s="375" t="str">
        <f>VLOOKUP(Tableau2[[#This Row],[Colonne1]],Tableau124[#All],10,FALSE)</f>
        <v>03 84 24 66 83</v>
      </c>
      <c r="L20" s="388" t="str">
        <f>VLOOKUP(Tableau2[[#This Row],[Colonne1]],Tableau124[#All],11,FALSE)</f>
        <v>https://www.oppelia.fr/etablissement/passerelle-39-lons-le-saunier/</v>
      </c>
      <c r="M20" s="167" t="str">
        <f>VLOOKUP(Tableau2[[#This Row],[Colonne1]],Tableau124[#All],12,FALSE)</f>
        <v>Lundi: 10h à 12h - 14h à 13h30-17h, Mardi: 9h à 12h - 13h à 18h, Mercredi 9h - 12h - 13h-17h30, jeudi 9h à 12h - 13h à 19h, vendredi: 10h à 12h - 13h à 17h30</v>
      </c>
      <c r="N20" s="166" t="str">
        <f>VLOOKUP(Tableau2[[#This Row],[Colonne1]],Tableau124[#All],13,FALSE)</f>
        <v>- suivi médico-psycho-social : accueil, entretiens, consultations ; 
- mise à disposition de matériel de consommation à moindre risque ;
- proposition de test rapide d'orientation diagnostic (TROD) ; 
- dispositifs anti-overdose à disposition ; 
- présence d'une CJC.</v>
      </c>
    </row>
    <row r="21" spans="1:14" ht="72.5">
      <c r="B21" s="164">
        <v>138</v>
      </c>
      <c r="C21" s="135" t="str">
        <f>VLOOKUP(Tableau2[[#This Row],[Colonne1]],Tableau124[#All],2,FALSE)</f>
        <v>Jura (39)</v>
      </c>
      <c r="D21" s="135" t="str">
        <f>VLOOKUP(Tableau2[[#This Row],[Colonne1]],Tableau124[#All],3,FALSE)</f>
        <v>Saint-Claude</v>
      </c>
      <c r="E21" s="135">
        <f>VLOOKUP(Tableau2[[#This Row],[Colonne1]],Tableau124[#All],4,FALSE)</f>
        <v>39200</v>
      </c>
      <c r="F21" s="135" t="str">
        <f>VLOOKUP(Tableau2[[#This Row],[Colonne1]],Tableau124[#All],5,FALSE)</f>
        <v xml:space="preserve"> Centre de Périnatalité de Proximité de Saint-Claude, 2 Rue de l'Hôpital</v>
      </c>
      <c r="G21" s="135" t="str">
        <f>VLOOKUP(Tableau2[[#This Row],[Colonne1]],Tableau124[#All],6,FALSE)</f>
        <v>CSAPA (consultations avancées)</v>
      </c>
      <c r="H21" s="135" t="str">
        <f>VLOOKUP(Tableau2[[#This Row],[Colonne1]],Tableau124[#All],7,FALSE)</f>
        <v>CSAPA - Oppélia39 - consultations avancées - Centre de Périnatalité de Proximité de Saint-Claude</v>
      </c>
      <c r="I21" s="135" t="str">
        <f>VLOOKUP(Tableau2[[#This Row],[Colonne1]],Tableau124[#All],8,FALSE)</f>
        <v>Associatif</v>
      </c>
      <c r="J21" s="383" t="str">
        <f>VLOOKUP(Tableau2[[#This Row],[Colonne1]],Tableau124[#All],9,FALSE)</f>
        <v>contactp39@oppelia.fr</v>
      </c>
      <c r="K21" s="375" t="str">
        <f>VLOOKUP(Tableau2[[#This Row],[Colonne1]],Tableau124[#All],10,FALSE)</f>
        <v>03 84 24 66 83</v>
      </c>
      <c r="L21" s="383" t="str">
        <f>VLOOKUP(Tableau2[[#This Row],[Colonne1]],Tableau124[#All],11,FALSE)</f>
        <v>https://www.oppelia.fr/etablissement/passerelle-39-saint-claude/</v>
      </c>
      <c r="M21" s="372" t="str">
        <f>VLOOKUP(Tableau2[[#This Row],[Colonne1]],Tableau124[#All],12,FALSE)</f>
        <v>Lundi : 10h à 12h30 - 13h30 à 16h</v>
      </c>
      <c r="N21" s="378" t="str">
        <f>VLOOKUP(Tableau2[[#This Row],[Colonne1]],Tableau124[#All],13,FALSE)</f>
        <v>Réalisation de consultations avancées</v>
      </c>
    </row>
    <row r="22" spans="1:14" ht="43.5">
      <c r="B22" s="164">
        <v>140</v>
      </c>
      <c r="C22" s="135" t="str">
        <f>VLOOKUP(Tableau2[[#This Row],[Colonne1]],Tableau124[#All],2,FALSE)</f>
        <v>Jura (39)</v>
      </c>
      <c r="D22" s="135" t="str">
        <f>VLOOKUP(Tableau2[[#This Row],[Colonne1]],Tableau124[#All],3,FALSE)</f>
        <v>Salins Les Bains</v>
      </c>
      <c r="E22" s="135">
        <f>VLOOKUP(Tableau2[[#This Row],[Colonne1]],Tableau124[#All],4,FALSE)</f>
        <v>39110</v>
      </c>
      <c r="F22" s="135" t="str">
        <f>VLOOKUP(Tableau2[[#This Row],[Colonne1]],Tableau124[#All],5,FALSE)</f>
        <v>1 rue des Bains 39110 Salins Les Bains</v>
      </c>
      <c r="G22" s="135" t="str">
        <f>VLOOKUP(Tableau2[[#This Row],[Colonne1]],Tableau124[#All],6,FALSE)</f>
        <v>CSAPA (consultations avancées)</v>
      </c>
      <c r="H22" s="135" t="str">
        <f>VLOOKUP(Tableau2[[#This Row],[Colonne1]],Tableau124[#All],7,FALSE)</f>
        <v>CSAPA de l'ADLCA - consultations avancées</v>
      </c>
      <c r="I22" s="135" t="str">
        <f>VLOOKUP(Tableau2[[#This Row],[Colonne1]],Tableau124[#All],8,FALSE)</f>
        <v>Associatif</v>
      </c>
      <c r="J22" s="383" t="str">
        <f>VLOOKUP(Tableau2[[#This Row],[Colonne1]],Tableau124[#All],9,FALSE)</f>
        <v>arbois@adlca.fr</v>
      </c>
      <c r="K22" s="375">
        <f>VLOOKUP(Tableau2[[#This Row],[Colonne1]],Tableau124[#All],10,FALSE)</f>
        <v>756263989</v>
      </c>
      <c r="L22" s="383" t="str">
        <f>VLOOKUP(Tableau2[[#This Row],[Colonne1]],Tableau124[#All],11,FALSE)</f>
        <v>https://csapa-adlca.fr/</v>
      </c>
      <c r="M22" s="167" t="str">
        <f>VLOOKUP(Tableau2[[#This Row],[Colonne1]],Tableau124[#All],12,FALSE)</f>
        <v xml:space="preserve">vendredi de 9h30 à 16h30 </v>
      </c>
      <c r="N22" s="378" t="str">
        <f>VLOOKUP(Tableau2[[#This Row],[Colonne1]],Tableau124[#All],13,FALSE)</f>
        <v>Réalisation de consultations avancées</v>
      </c>
    </row>
    <row r="23" spans="1:14" ht="29">
      <c r="B23" s="164">
        <v>39</v>
      </c>
      <c r="C23" s="135" t="str">
        <f>VLOOKUP(Tableau2[[#This Row],[Colonne1]],Tableau124[#All],2,FALSE)</f>
        <v>Côte-d’Or (21)</v>
      </c>
      <c r="D23" s="135" t="str">
        <f>VLOOKUP(Tableau2[[#This Row],[Colonne1]],Tableau124[#All],3,FALSE)</f>
        <v>Saulieu</v>
      </c>
      <c r="E23" s="135">
        <f>VLOOKUP(Tableau2[[#This Row],[Colonne1]],Tableau124[#All],4,FALSE)</f>
        <v>21210</v>
      </c>
      <c r="F23" s="135" t="str">
        <f>VLOOKUP(Tableau2[[#This Row],[Colonne1]],Tableau124[#All],5,FALSE)</f>
        <v>2 rue Courtépée</v>
      </c>
      <c r="G23" s="135" t="str">
        <f>VLOOKUP(Tableau2[[#This Row],[Colonne1]],Tableau124[#All],6,FALSE)</f>
        <v>Antenne CSAPA</v>
      </c>
      <c r="H23" s="135" t="str">
        <f>VLOOKUP(Tableau2[[#This Row],[Colonne1]],Tableau124[#All],7,FALSE)</f>
        <v>Association Addictions France 21</v>
      </c>
      <c r="I23" s="135" t="str">
        <f>VLOOKUP(Tableau2[[#This Row],[Colonne1]],Tableau124[#All],8,FALSE)</f>
        <v>Associatif</v>
      </c>
      <c r="J23" s="383" t="str">
        <f>VLOOKUP(Tableau2[[#This Row],[Colonne1]],Tableau124[#All],9,FALSE)</f>
        <v>csapa.dijon@addictions-france.org</v>
      </c>
      <c r="K23" s="375" t="str">
        <f>VLOOKUP(Tableau2[[#This Row],[Colonne1]],Tableau124[#All],10,FALSE)</f>
        <v>03 80 73 26 32</v>
      </c>
      <c r="L23" s="387" t="str">
        <f>VLOOKUP(Tableau2[[#This Row],[Colonne1]],Tableau124[#All],11,FALSE)</f>
        <v xml:space="preserve"> </v>
      </c>
      <c r="M23" s="167" t="str">
        <f>VLOOKUP(Tableau2[[#This Row],[Colonne1]],Tableau124[#All],12,FALSE)</f>
        <v>Jeudi : semaine paire 10h-16h30, semaine impaire 13h30 17h</v>
      </c>
      <c r="N23" s="166" t="str">
        <f>VLOOKUP(Tableau2[[#This Row],[Colonne1]],Tableau124[#All],13,FALSE)</f>
        <v xml:space="preserve">  </v>
      </c>
    </row>
    <row r="24" spans="1:14" ht="87">
      <c r="B24" s="164">
        <v>40</v>
      </c>
      <c r="C24" s="389" t="str">
        <f>VLOOKUP(Tableau2[[#This Row],[Colonne1]],Tableau124[#All],2,FALSE)</f>
        <v>Côte-d’Or (21)</v>
      </c>
      <c r="D24" s="104" t="str">
        <f>VLOOKUP(Tableau2[[#This Row],[Colonne1]],Tableau124[#All],3,FALSE)</f>
        <v>Saulieu</v>
      </c>
      <c r="E24" s="104">
        <f>VLOOKUP(Tableau2[[#This Row],[Colonne1]],Tableau124[#All],4,FALSE)</f>
        <v>21210</v>
      </c>
      <c r="F24" s="104" t="str">
        <f>VLOOKUP(Tableau2[[#This Row],[Colonne1]],Tableau124[#All],5,FALSE)</f>
        <v>Centre Hospitalier Haute Côte-d'Or - Site de Saulieu 2 Rue Claude Courtépée 21210 SAULIEU</v>
      </c>
      <c r="G24" s="104" t="str">
        <f>VLOOKUP(Tableau2[[#This Row],[Colonne1]],Tableau124[#All],6,FALSE)</f>
        <v>Consultations Hospitalières externes d'addictologie (autre lieu d'intervention)</v>
      </c>
      <c r="H24" s="104" t="str">
        <f>VLOOKUP(Tableau2[[#This Row],[Colonne1]],Tableau124[#All],7,FALSE)</f>
        <v>CENTRE HOSPITALIER - CHA (CENTRE HOSPITALIER ROBERT MORLEVAT  SEMUR EN AUXOIS)</v>
      </c>
      <c r="I24" s="104" t="str">
        <f>VLOOKUP(Tableau2[[#This Row],[Colonne1]],Tableau124[#All],8,FALSE)</f>
        <v>Public</v>
      </c>
      <c r="J24" s="382" t="str">
        <f>VLOOKUP(Tableau2[[#This Row],[Colonne1]],Tableau124[#All],9,FALSE)</f>
        <v>secretariat.psychiatrie@ch-semur.fr</v>
      </c>
      <c r="K24" s="374" t="str">
        <f>VLOOKUP(Tableau2[[#This Row],[Colonne1]],Tableau124[#All],10,FALSE)</f>
        <v>03.80.89.64.72</v>
      </c>
      <c r="L24" s="264" t="str">
        <f>VLOOKUP(Tableau2[[#This Row],[Colonne1]],Tableau124[#All],11,FALSE)</f>
        <v>www.ch-semur.fr</v>
      </c>
      <c r="M24" s="381" t="str">
        <f>VLOOKUP(Tableau2[[#This Row],[Colonne1]],Tableau124[#All],12,FALSE)</f>
        <v>SUR RDV</v>
      </c>
      <c r="N24" s="461" t="str">
        <f>VLOOKUP(Tableau2[[#This Row],[Colonne1]],Tableau124[#All],13,FALSE)</f>
        <v>Intervention auprès de public majeurs et mineurs</v>
      </c>
    </row>
    <row r="25" spans="1:14" ht="86.5" customHeight="1">
      <c r="B25" s="164">
        <v>41</v>
      </c>
      <c r="C25" s="135" t="str">
        <f>VLOOKUP(Tableau2[[#This Row],[Colonne1]],Tableau124[#All],2,FALSE)</f>
        <v>Côte-d’Or (21)</v>
      </c>
      <c r="D25" s="135" t="str">
        <f>VLOOKUP(Tableau2[[#This Row],[Colonne1]],Tableau124[#All],3,FALSE)</f>
        <v>Selongey</v>
      </c>
      <c r="E25" s="135">
        <f>VLOOKUP(Tableau2[[#This Row],[Colonne1]],Tableau124[#All],4,FALSE)</f>
        <v>21260</v>
      </c>
      <c r="F25" s="135" t="str">
        <f>VLOOKUP(Tableau2[[#This Row],[Colonne1]],Tableau124[#All],5,FALSE)</f>
        <v>Rue du rang Pastourelle</v>
      </c>
      <c r="G25" s="135" t="str">
        <f>VLOOKUP(Tableau2[[#This Row],[Colonne1]],Tableau124[#All],6,FALSE)</f>
        <v>Antenne CSAPA</v>
      </c>
      <c r="H25" s="135" t="str">
        <f>VLOOKUP(Tableau2[[#This Row],[Colonne1]],Tableau124[#All],7,FALSE)</f>
        <v>CSAPA Tivoli, Caarud le Spot - SEDAP</v>
      </c>
      <c r="I25" s="135" t="str">
        <f>VLOOKUP(Tableau2[[#This Row],[Colonne1]],Tableau124[#All],8,FALSE)</f>
        <v>Associatif</v>
      </c>
      <c r="J25" s="383" t="str">
        <f>VLOOKUP(Tableau2[[#This Row],[Colonne1]],Tableau124[#All],9,FALSE)</f>
        <v>seine-tilles@addictions-sedap.fr</v>
      </c>
      <c r="K25" s="375">
        <f>VLOOKUP(Tableau2[[#This Row],[Colonne1]],Tableau124[#All],10,FALSE)</f>
        <v>811466280</v>
      </c>
      <c r="L25" s="387" t="str">
        <f>VLOOKUP(Tableau2[[#This Row],[Colonne1]],Tableau124[#All],11,FALSE)</f>
        <v xml:space="preserve"> </v>
      </c>
      <c r="M25" s="167" t="str">
        <f>VLOOKUP(Tableau2[[#This Row],[Colonne1]],Tableau124[#All],12,FALSE)</f>
        <v>lundi, mercredi 9h-12h/14h-18h et vendredi  9h-12h</v>
      </c>
      <c r="N25" s="166" t="str">
        <f>VLOOKUP(Tableau2[[#This Row],[Colonne1]],Tableau124[#All],13,FALSE)</f>
        <v xml:space="preserve">  </v>
      </c>
    </row>
    <row r="26" spans="1:14" ht="116">
      <c r="B26" s="164">
        <v>42</v>
      </c>
      <c r="C26" s="104" t="str">
        <f>VLOOKUP(Tableau2[[#This Row],[Colonne1]],Tableau124[#All],2,FALSE)</f>
        <v>Côte-d’Or (21)</v>
      </c>
      <c r="D26" s="104" t="str">
        <f>VLOOKUP(Tableau2[[#This Row],[Colonne1]],Tableau124[#All],3,FALSE)</f>
        <v>Semur-En-Auxois</v>
      </c>
      <c r="E26" s="104">
        <f>VLOOKUP(Tableau2[[#This Row],[Colonne1]],Tableau124[#All],4,FALSE)</f>
        <v>21140</v>
      </c>
      <c r="F26" s="104" t="str">
        <f>VLOOKUP(Tableau2[[#This Row],[Colonne1]],Tableau124[#All],5,FALSE)</f>
        <v>Centre Hospitalier 3 Avenue Pasteur 21 140 SEMUR EN AUXOIS</v>
      </c>
      <c r="G26" s="104" t="str">
        <f>VLOOKUP(Tableau2[[#This Row],[Colonne1]],Tableau124[#All],6,FALSE)</f>
        <v>Consultations Hospitalières externes d'addictologie (autre lieu d'intervention)</v>
      </c>
      <c r="H26" s="104" t="str">
        <f>VLOOKUP(Tableau2[[#This Row],[Colonne1]],Tableau124[#All],7,FALSE)</f>
        <v xml:space="preserve">Centre Hospitalier - CHA (Centre Hospitalier Robert Morlevat) </v>
      </c>
      <c r="I26" s="104" t="str">
        <f>VLOOKUP(Tableau2[[#This Row],[Colonne1]],Tableau124[#All],8,FALSE)</f>
        <v>Public</v>
      </c>
      <c r="J26" s="382" t="str">
        <f>VLOOKUP(Tableau2[[#This Row],[Colonne1]],Tableau124[#All],9,FALSE)</f>
        <v>secretariat.psychiatrie@ch-semur.fr</v>
      </c>
      <c r="K26" s="374" t="str">
        <f>VLOOKUP(Tableau2[[#This Row],[Colonne1]],Tableau124[#All],10,FALSE)</f>
        <v>03.80.89.64.72</v>
      </c>
      <c r="L26" s="382" t="str">
        <f>VLOOKUP(Tableau2[[#This Row],[Colonne1]],Tableau124[#All],11,FALSE)</f>
        <v>www.ch-semur.fr</v>
      </c>
      <c r="M26" s="381" t="str">
        <f>VLOOKUP(Tableau2[[#This Row],[Colonne1]],Tableau124[#All],12,FALSE)</f>
        <v xml:space="preserve"> Dr Thomas WALLENHORST _ psychiatre addictologue_ sur RDV le mardi matin
Dr Jacques CORNET_ médecin addictologue_ sur RDV le mardi après-midi et le jeudi après-midi
Infirmière addictologue_ sur RDV du lundi au vendredi (9h-17h)</v>
      </c>
      <c r="N26" s="377" t="str">
        <f>VLOOKUP(Tableau2[[#This Row],[Colonne1]],Tableau124[#All],13,FALSE)</f>
        <v>Intervention auprès de public majeurs et mineurs</v>
      </c>
    </row>
    <row r="27" spans="1:14" ht="58">
      <c r="B27" s="164">
        <v>234</v>
      </c>
      <c r="C27" s="104" t="str">
        <f>VLOOKUP(Tableau2[[#This Row],[Colonne1]],Tableau124[#All],2,FALSE)</f>
        <v>Yonne (89)</v>
      </c>
      <c r="D27" s="104" t="str">
        <f>VLOOKUP(Tableau2[[#This Row],[Colonne1]],Tableau124[#All],3,FALSE)</f>
        <v>Sens</v>
      </c>
      <c r="E27" s="104" t="str">
        <f>VLOOKUP(Tableau2[[#This Row],[Colonne1]],Tableau124[#All],4,FALSE)</f>
        <v>89100</v>
      </c>
      <c r="F27" s="104" t="str">
        <f>VLOOKUP(Tableau2[[#This Row],[Colonne1]],Tableau124[#All],5,FALSE)</f>
        <v>Unité mobile d'addictologie, 5e étage, 1 avenue Pierre de Coubertin</v>
      </c>
      <c r="G27" s="104" t="str">
        <f>VLOOKUP(Tableau2[[#This Row],[Colonne1]],Tableau124[#All],6,FALSE)</f>
        <v>Consultations Hospitalières externes d'addictologie</v>
      </c>
      <c r="H27" s="104" t="str">
        <f>VLOOKUP(Tableau2[[#This Row],[Colonne1]],Tableau124[#All],7,FALSE)</f>
        <v>Centre Hospitalier de Sens</v>
      </c>
      <c r="I27" s="104" t="str">
        <f>VLOOKUP(Tableau2[[#This Row],[Colonne1]],Tableau124[#All],8,FALSE)</f>
        <v>Public</v>
      </c>
      <c r="J27" s="382" t="str">
        <f>VLOOKUP(Tableau2[[#This Row],[Colonne1]],Tableau124[#All],9,FALSE)</f>
        <v xml:space="preserve">secretaddicto@ch-sens.fr </v>
      </c>
      <c r="K27" s="374" t="str">
        <f>VLOOKUP(Tableau2[[#This Row],[Colonne1]],Tableau124[#All],10,FALSE)</f>
        <v>03.86.86.15.35</v>
      </c>
      <c r="L27" s="382" t="str">
        <f>VLOOKUP(Tableau2[[#This Row],[Colonne1]],Tableau124[#All],11,FALSE)</f>
        <v>www.ch-sens.fr</v>
      </c>
      <c r="M27" s="381" t="str">
        <f>VLOOKUP(Tableau2[[#This Row],[Colonne1]],Tableau124[#All],12,FALSE)</f>
        <v>Lundi : 14h-17h
Mercredi 9h-12h / 14h-17h
Vendredi matin : 9h -12h</v>
      </c>
      <c r="N27" s="377" t="str">
        <f>VLOOKUP(Tableau2[[#This Row],[Colonne1]],Tableau124[#All],13,FALSE)</f>
        <v>Intervention auprès de public majeurs et mineurs</v>
      </c>
    </row>
    <row r="28" spans="1:14" ht="43.5">
      <c r="B28" s="164">
        <v>235</v>
      </c>
      <c r="C28" s="135" t="str">
        <f>VLOOKUP(Tableau2[[#This Row],[Colonne1]],Tableau124[#All],2,FALSE)</f>
        <v>Yonne (89)</v>
      </c>
      <c r="D28" s="96" t="str">
        <f>VLOOKUP(Tableau2[[#This Row],[Colonne1]],Tableau124[#All],3,FALSE)</f>
        <v>Sens</v>
      </c>
      <c r="E28" s="96">
        <f>VLOOKUP(Tableau2[[#This Row],[Colonne1]],Tableau124[#All],4,FALSE)</f>
        <v>89100</v>
      </c>
      <c r="F28" s="96" t="str">
        <f>VLOOKUP(Tableau2[[#This Row],[Colonne1]],Tableau124[#All],5,FALSE)</f>
        <v>CHRS Sens - 61 Bd du 14 Juillet</v>
      </c>
      <c r="G28" s="96" t="str">
        <f>VLOOKUP(Tableau2[[#This Row],[Colonne1]],Tableau124[#All],6,FALSE)</f>
        <v>CSAPA (consultations avancées)</v>
      </c>
      <c r="H28" s="96" t="str">
        <f>VLOOKUP(Tableau2[[#This Row],[Colonne1]],Tableau124[#All],7,FALSE)</f>
        <v>CSAPA - Association Addictions France - consultations avancées</v>
      </c>
      <c r="I28" s="96" t="str">
        <f>VLOOKUP(Tableau2[[#This Row],[Colonne1]],Tableau124[#All],8,FALSE)</f>
        <v>Associatif</v>
      </c>
      <c r="J28" s="386" t="str">
        <f>VLOOKUP(Tableau2[[#This Row],[Colonne1]],Tableau124[#All],9,FALSE)</f>
        <v>csapa.sens@addictions-france.org</v>
      </c>
      <c r="K28" s="375" t="str">
        <f>VLOOKUP(Tableau2[[#This Row],[Colonne1]],Tableau124[#All],10,FALSE)</f>
        <v xml:space="preserve"> 03 86 95 10 71</v>
      </c>
      <c r="L28" s="269" t="str">
        <f>VLOOKUP(Tableau2[[#This Row],[Colonne1]],Tableau124[#All],11,FALSE)</f>
        <v xml:space="preserve"> </v>
      </c>
      <c r="M28" s="167" t="str">
        <f>VLOOKUP(Tableau2[[#This Row],[Colonne1]],Tableau124[#All],12,FALSE)</f>
        <v>1 lundi matin sur 2</v>
      </c>
      <c r="N28" s="380" t="str">
        <f>VLOOKUP(Tableau2[[#This Row],[Colonne1]],Tableau124[#All],13,FALSE)</f>
        <v xml:space="preserve">  </v>
      </c>
    </row>
    <row r="29" spans="1:14" ht="43.5">
      <c r="B29" s="164">
        <v>236</v>
      </c>
      <c r="C29" s="135" t="str">
        <f>VLOOKUP(Tableau2[[#This Row],[Colonne1]],Tableau124[#All],2,FALSE)</f>
        <v>Yonne (89)</v>
      </c>
      <c r="D29" s="135" t="str">
        <f>VLOOKUP(Tableau2[[#This Row],[Colonne1]],Tableau124[#All],3,FALSE)</f>
        <v>Sens</v>
      </c>
      <c r="E29" s="135">
        <f>VLOOKUP(Tableau2[[#This Row],[Colonne1]],Tableau124[#All],4,FALSE)</f>
        <v>89100</v>
      </c>
      <c r="F29" s="135" t="str">
        <f>VLOOKUP(Tableau2[[#This Row],[Colonne1]],Tableau124[#All],5,FALSE)</f>
        <v>Centre Hospitalier 1 Avenue Pierre de Coubertin</v>
      </c>
      <c r="G29" s="135" t="str">
        <f>VLOOKUP(Tableau2[[#This Row],[Colonne1]],Tableau124[#All],6,FALSE)</f>
        <v>CSAPA (consultations avancées)</v>
      </c>
      <c r="H29" s="135" t="str">
        <f>VLOOKUP(Tableau2[[#This Row],[Colonne1]],Tableau124[#All],7,FALSE)</f>
        <v>CSAPA - Association Addictions France - consultations avancées</v>
      </c>
      <c r="I29" s="135" t="str">
        <f>VLOOKUP(Tableau2[[#This Row],[Colonne1]],Tableau124[#All],8,FALSE)</f>
        <v>Associatif</v>
      </c>
      <c r="J29" s="269" t="str">
        <f>VLOOKUP(Tableau2[[#This Row],[Colonne1]],Tableau124[#All],9,FALSE)</f>
        <v>bfc89@addictions-france.org</v>
      </c>
      <c r="K29" s="199" t="str">
        <f>VLOOKUP(Tableau2[[#This Row],[Colonne1]],Tableau124[#All],10,FALSE)</f>
        <v>03 86 92 33 33</v>
      </c>
      <c r="L29" s="383" t="str">
        <f>VLOOKUP(Tableau2[[#This Row],[Colonne1]],Tableau124[#All],11,FALSE)</f>
        <v>www.addictions-france.org</v>
      </c>
      <c r="M29" s="96" t="str">
        <f>VLOOKUP(Tableau2[[#This Row],[Colonne1]],Tableau124[#All],12,FALSE)</f>
        <v>le mercredi  de 9h à 12h30</v>
      </c>
      <c r="N29" s="96" t="str">
        <f>VLOOKUP(Tableau2[[#This Row],[Colonne1]],Tableau124[#All],13,FALSE)</f>
        <v>Réalisation de consultations avancées</v>
      </c>
    </row>
    <row r="30" spans="1:14" ht="43.5">
      <c r="B30" s="164">
        <v>237</v>
      </c>
      <c r="C30" s="135" t="str">
        <f>VLOOKUP(Tableau2[[#This Row],[Colonne1]],Tableau124[#All],2,FALSE)</f>
        <v>Yonne (89)</v>
      </c>
      <c r="D30" s="135" t="str">
        <f>VLOOKUP(Tableau2[[#This Row],[Colonne1]],Tableau124[#All],3,FALSE)</f>
        <v>Sens</v>
      </c>
      <c r="E30" s="135">
        <f>VLOOKUP(Tableau2[[#This Row],[Colonne1]],Tableau124[#All],4,FALSE)</f>
        <v>89100</v>
      </c>
      <c r="F30" s="135" t="str">
        <f>VLOOKUP(Tableau2[[#This Row],[Colonne1]],Tableau124[#All],5,FALSE)</f>
        <v>CHRS 61 Boulevard du 14 juillet</v>
      </c>
      <c r="G30" s="135" t="str">
        <f>VLOOKUP(Tableau2[[#This Row],[Colonne1]],Tableau124[#All],6,FALSE)</f>
        <v>CSAPA (consultations avancées)</v>
      </c>
      <c r="H30" s="135" t="str">
        <f>VLOOKUP(Tableau2[[#This Row],[Colonne1]],Tableau124[#All],7,FALSE)</f>
        <v>CSAPA - Association Addictions France - consultations avancées</v>
      </c>
      <c r="I30" s="135" t="str">
        <f>VLOOKUP(Tableau2[[#This Row],[Colonne1]],Tableau124[#All],8,FALSE)</f>
        <v>Associatif</v>
      </c>
      <c r="J30" s="385" t="str">
        <f>VLOOKUP(Tableau2[[#This Row],[Colonne1]],Tableau124[#All],9,FALSE)</f>
        <v>bfc89@addictions-france.org</v>
      </c>
      <c r="K30" s="376" t="str">
        <f>VLOOKUP(Tableau2[[#This Row],[Colonne1]],Tableau124[#All],10,FALSE)</f>
        <v>03.86.51.46.101</v>
      </c>
      <c r="L30" s="383" t="str">
        <f>VLOOKUP(Tableau2[[#This Row],[Colonne1]],Tableau124[#All],11,FALSE)</f>
        <v>www.addictions-france.org</v>
      </c>
      <c r="M30" s="372" t="str">
        <f>VLOOKUP(Tableau2[[#This Row],[Colonne1]],Tableau124[#All],12,FALSE)</f>
        <v>1 lundi sur 2 de 9h30 à 15h</v>
      </c>
      <c r="N30" s="373" t="str">
        <f>VLOOKUP(Tableau2[[#This Row],[Colonne1]],Tableau124[#All],13,FALSE)</f>
        <v>Réalisation de consultations avancées</v>
      </c>
    </row>
    <row r="31" spans="1:14" ht="130.5">
      <c r="B31" s="164">
        <v>233</v>
      </c>
      <c r="C31" s="135" t="str">
        <f>VLOOKUP(Tableau2[[#This Row],[Colonne1]],Tableau124[#All],2,FALSE)</f>
        <v>Yonne (89)</v>
      </c>
      <c r="D31" s="135" t="str">
        <f>VLOOKUP(Tableau2[[#This Row],[Colonne1]],Tableau124[#All],3,FALSE)</f>
        <v>Sens</v>
      </c>
      <c r="E31" s="135">
        <f>VLOOKUP(Tableau2[[#This Row],[Colonne1]],Tableau124[#All],4,FALSE)</f>
        <v>89100</v>
      </c>
      <c r="F31" s="135" t="str">
        <f>VLOOKUP(Tableau2[[#This Row],[Colonne1]],Tableau124[#All],5,FALSE)</f>
        <v>43 rue du 19 mars 1962</v>
      </c>
      <c r="G31" s="135" t="str">
        <f>VLOOKUP(Tableau2[[#This Row],[Colonne1]],Tableau124[#All],6,FALSE)</f>
        <v>Antenne CSAPA</v>
      </c>
      <c r="H31" s="135" t="str">
        <f>VLOOKUP(Tableau2[[#This Row],[Colonne1]],Tableau124[#All],7,FALSE)</f>
        <v>CSAPA - Association Addictions France</v>
      </c>
      <c r="I31" s="135" t="str">
        <f>VLOOKUP(Tableau2[[#This Row],[Colonne1]],Tableau124[#All],8,FALSE)</f>
        <v>Associatif</v>
      </c>
      <c r="J31" s="383" t="str">
        <f>VLOOKUP(Tableau2[[#This Row],[Colonne1]],Tableau124[#All],9,FALSE)</f>
        <v>csapa.sens@addictions-france.org</v>
      </c>
      <c r="K31" s="375" t="str">
        <f>VLOOKUP(Tableau2[[#This Row],[Colonne1]],Tableau124[#All],10,FALSE)</f>
        <v>03.86.95.10.71</v>
      </c>
      <c r="L31" s="273" t="str">
        <f>VLOOKUP(Tableau2[[#This Row],[Colonne1]],Tableau124[#All],11,FALSE)</f>
        <v xml:space="preserve"> </v>
      </c>
      <c r="M31" s="167" t="str">
        <f>VLOOKUP(Tableau2[[#This Row],[Colonne1]],Tableau124[#All],12,FALSE)</f>
        <v>Lundi 9h-13h / 14h-17h Mardi 9h-13h / 14h-18h Mercredi 9h-13h / 13h30-17h Jeudi 9h-13h / 14h-19h Vendredi 9h-13h / 14h-17h</v>
      </c>
      <c r="N31" s="373" t="str">
        <f>VLOOKUP(Tableau2[[#This Row],[Colonne1]],Tableau124[#All],13,FALSE)</f>
        <v>lieux de permanences : Villeneuve/Yonne
CJC avancées qui dépendant du CSAPA de Sens: lycée Janot Curie (Sens), Collège des Champs Plaisants (Sens), Collège Montpezat (Sens), Collège Mallarmé (Sens), Collège Chateaubriand (Villeneuve/Yonne), Collège ""André Malraux"" (Paron) et Collège Restif de la Bretonne (Pont/Yonne)"</v>
      </c>
    </row>
    <row r="32" spans="1:14" s="69" customFormat="1" ht="39.65" customHeight="1">
      <c r="A32" s="68"/>
      <c r="B32" s="164">
        <v>141</v>
      </c>
      <c r="C32" s="392" t="str">
        <f>VLOOKUP(Tableau2[[#This Row],[Colonne1]],Tableau124[#All],2,FALSE)</f>
        <v>Jura (39)</v>
      </c>
      <c r="D32" s="391" t="str">
        <f>VLOOKUP(Tableau2[[#This Row],[Colonne1]],Tableau124[#All],3,FALSE)</f>
        <v>St Claude</v>
      </c>
      <c r="E32" s="391">
        <f>VLOOKUP(Tableau2[[#This Row],[Colonne1]],Tableau124[#All],4,FALSE)</f>
        <v>39200</v>
      </c>
      <c r="F32" s="392" t="str">
        <f>VLOOKUP(Tableau2[[#This Row],[Colonne1]],Tableau124[#All],5,FALSE)</f>
        <v>45 rue des prés (Saint-Claude)</v>
      </c>
      <c r="G32" s="391" t="str">
        <f>VLOOKUP(Tableau2[[#This Row],[Colonne1]],Tableau124[#All],6,FALSE)</f>
        <v>CJC</v>
      </c>
      <c r="H32" s="391" t="str">
        <f>VLOOKUP(Tableau2[[#This Row],[Colonne1]],Tableau124[#All],7,FALSE)</f>
        <v>CSAPA Oppelia Passerelle 39</v>
      </c>
      <c r="I32" s="391" t="str">
        <f>VLOOKUP(Tableau2[[#This Row],[Colonne1]],Tableau124[#All],8,FALSE)</f>
        <v>Associatif</v>
      </c>
      <c r="J32" s="398" t="str">
        <f>VLOOKUP(Tableau2[[#This Row],[Colonne1]],Tableau124[#All],9,FALSE)</f>
        <v>contactp39@oppelia.fr</v>
      </c>
      <c r="K32" s="393" t="str">
        <f>VLOOKUP(Tableau2[[#This Row],[Colonne1]],Tableau124[#All],10,FALSE)</f>
        <v>03 84 24 66 83</v>
      </c>
      <c r="L32" s="398" t="str">
        <f>VLOOKUP(Tableau2[[#This Row],[Colonne1]],Tableau124[#All],11,FALSE)</f>
        <v>https://www.oppelia.fr/etablissement/passerelle-39-saint-claude/</v>
      </c>
      <c r="M32" s="399" t="str">
        <f>VLOOKUP(Tableau2[[#This Row],[Colonne1]],Tableau124[#All],12,FALSE)</f>
        <v>Mercredi : 9h à 12h30 - 13h30 à 18h</v>
      </c>
      <c r="N32" s="400" t="str">
        <f>VLOOKUP(Tableau2[[#This Row],[Colonne1]],Tableau124[#All],13,FALSE)</f>
        <v>- Accueil des jeunes ; 
- Accueil de la famille et l'entourage ; 
- Orientation sur rendez-vous ;</v>
      </c>
    </row>
    <row r="33" spans="2:14" ht="29">
      <c r="B33" s="164">
        <v>159</v>
      </c>
      <c r="C33" s="135" t="str">
        <f>VLOOKUP(Tableau2[[#This Row],[Colonne1]],Tableau124[#All],2,FALSE)</f>
        <v>Nièvre (58)</v>
      </c>
      <c r="D33" s="135" t="str">
        <f>VLOOKUP(Tableau2[[#This Row],[Colonne1]],Tableau124[#All],3,FALSE)</f>
        <v>Tannay</v>
      </c>
      <c r="E33" s="135" t="str">
        <f>VLOOKUP(Tableau2[[#This Row],[Colonne1]],Tableau124[#All],4,FALSE)</f>
        <v>58000</v>
      </c>
      <c r="F33" s="135" t="str">
        <f>VLOOKUP(Tableau2[[#This Row],[Colonne1]],Tableau124[#All],5,FALSE)</f>
        <v>8 Place Charles Chaigneau</v>
      </c>
      <c r="G33" s="135" t="str">
        <f>VLOOKUP(Tableau2[[#This Row],[Colonne1]],Tableau124[#All],6,FALSE)</f>
        <v>Antenne CSAPA</v>
      </c>
      <c r="H33" s="135" t="str">
        <f>VLOOKUP(Tableau2[[#This Row],[Colonne1]],Tableau124[#All],7,FALSE)</f>
        <v>CSAPA - Association Addictions France</v>
      </c>
      <c r="I33" s="135" t="str">
        <f>VLOOKUP(Tableau2[[#This Row],[Colonne1]],Tableau124[#All],8,FALSE)</f>
        <v>Associatif</v>
      </c>
      <c r="J33" s="383" t="str">
        <f>VLOOKUP(Tableau2[[#This Row],[Colonne1]],Tableau124[#All],9,FALSE)</f>
        <v>bfc58@addictions-france.org</v>
      </c>
      <c r="K33" s="199" t="str">
        <f>VLOOKUP(Tableau2[[#This Row],[Colonne1]],Tableau124[#All],10,FALSE)</f>
        <v>03 86 61 56 89</v>
      </c>
      <c r="L33" s="273" t="str">
        <f>VLOOKUP(Tableau2[[#This Row],[Colonne1]],Tableau124[#All],11,FALSE)</f>
        <v xml:space="preserve"> </v>
      </c>
      <c r="M33" s="96" t="str">
        <f>VLOOKUP(Tableau2[[#This Row],[Colonne1]],Tableau124[#All],12,FALSE)</f>
        <v>Mardi, Jeudi, Vendredi : 8h30 – 12h30 / 13h30 – 17h</v>
      </c>
      <c r="N33" s="216" t="str">
        <f>VLOOKUP(Tableau2[[#This Row],[Colonne1]],Tableau124[#All],13,FALSE)</f>
        <v xml:space="preserve">  </v>
      </c>
    </row>
    <row r="34" spans="2:14" ht="58">
      <c r="B34" s="164">
        <v>206</v>
      </c>
      <c r="C34" s="135" t="str">
        <f>VLOOKUP(Tableau2[[#This Row],[Colonne1]],Tableau124[#All],2,FALSE)</f>
        <v>Territoire de Belfort (90)</v>
      </c>
      <c r="D34" s="135" t="str">
        <f>VLOOKUP(Tableau2[[#This Row],[Colonne1]],Tableau124[#All],3,FALSE)</f>
        <v>Trévenans</v>
      </c>
      <c r="E34" s="135">
        <f>VLOOKUP(Tableau2[[#This Row],[Colonne1]],Tableau124[#All],4,FALSE)</f>
        <v>90400</v>
      </c>
      <c r="F34" s="135" t="str">
        <f>VLOOKUP(Tableau2[[#This Row],[Colonne1]],Tableau124[#All],5,FALSE)</f>
        <v>Hôpital Nord Franche-Comté, 100 route de Moval</v>
      </c>
      <c r="G34" s="135" t="str">
        <f>VLOOKUP(Tableau2[[#This Row],[Colonne1]],Tableau124[#All],6,FALSE)</f>
        <v>CSAPA (consultations avancées)</v>
      </c>
      <c r="H34" s="135" t="str">
        <f>VLOOKUP(Tableau2[[#This Row],[Colonne1]],Tableau124[#All],7,FALSE)</f>
        <v>CSAPA de Belfort - Association Addictions France - consultations avancées</v>
      </c>
      <c r="I34" s="135" t="str">
        <f>VLOOKUP(Tableau2[[#This Row],[Colonne1]],Tableau124[#All],8,FALSE)</f>
        <v>Associatif</v>
      </c>
      <c r="J34" s="383" t="str">
        <f>VLOOKUP(Tableau2[[#This Row],[Colonne1]],Tableau124[#All],9,FALSE)</f>
        <v>csapa.belfort@addictions-france.org</v>
      </c>
      <c r="K34" s="375" t="str">
        <f>VLOOKUP(Tableau2[[#This Row],[Colonne1]],Tableau124[#All],10,FALSE)</f>
        <v>03.84.22.31.39</v>
      </c>
      <c r="L34" s="383" t="str">
        <f>VLOOKUP(Tableau2[[#This Row],[Colonne1]],Tableau124[#All],11,FALSE)</f>
        <v>www.addictions-france.org</v>
      </c>
      <c r="M34" s="167" t="str">
        <f>VLOOKUP(Tableau2[[#This Row],[Colonne1]],Tableau124[#All],12,FALSE)</f>
        <v>Le lundi de 9h30 à 11h30 et le jeudi de 9h à 12h30</v>
      </c>
      <c r="N34" s="378" t="str">
        <f>VLOOKUP(Tableau2[[#This Row],[Colonne1]],Tableau124[#All],13,FALSE)</f>
        <v>Réalisation de consultations avancées</v>
      </c>
    </row>
    <row r="35" spans="2:14" ht="58">
      <c r="B35" s="164">
        <v>205</v>
      </c>
      <c r="C35" s="371" t="str">
        <f>VLOOKUP(Tableau2[[#This Row],[Colonne1]],Tableau124[#All],2,FALSE)</f>
        <v>Territoire de Belfort (90)</v>
      </c>
      <c r="D35" s="104" t="str">
        <f>VLOOKUP(Tableau2[[#This Row],[Colonne1]],Tableau124[#All],3,FALSE)</f>
        <v>Trévenans</v>
      </c>
      <c r="E35" s="104">
        <f>VLOOKUP(Tableau2[[#This Row],[Colonne1]],Tableau124[#All],4,FALSE)</f>
        <v>90400</v>
      </c>
      <c r="F35" s="104" t="str">
        <f>VLOOKUP(Tableau2[[#This Row],[Colonne1]],Tableau124[#All],5,FALSE)</f>
        <v>100 Rte de Moval</v>
      </c>
      <c r="G35" s="104" t="str">
        <f>VLOOKUP(Tableau2[[#This Row],[Colonne1]],Tableau124[#All],6,FALSE)</f>
        <v>Consultations Hospitalières externes d'addictologie (autre lieu d'intervention)</v>
      </c>
      <c r="H35" s="104" t="str">
        <f>VLOOKUP(Tableau2[[#This Row],[Colonne1]],Tableau124[#All],7,FALSE)</f>
        <v>HNFC consultations Tech'nom (Hôpital Nord Franche-Comté)</v>
      </c>
      <c r="I35" s="104" t="str">
        <f>VLOOKUP(Tableau2[[#This Row],[Colonne1]],Tableau124[#All],8,FALSE)</f>
        <v>Public</v>
      </c>
      <c r="J35" s="264" t="str">
        <f>VLOOKUP(Tableau2[[#This Row],[Colonne1]],Tableau124[#All],9,FALSE)</f>
        <v>crap.medecine.secr@hnfc.fr</v>
      </c>
      <c r="K35" s="200" t="str">
        <f>VLOOKUP(Tableau2[[#This Row],[Colonne1]],Tableau124[#All],10,FALSE)</f>
        <v>03 84 98 23 50</v>
      </c>
      <c r="L35" s="382" t="str">
        <f>VLOOKUP(Tableau2[[#This Row],[Colonne1]],Tableau124[#All],11,FALSE)</f>
        <v>www.hnfc.fr</v>
      </c>
      <c r="M35" s="122" t="str">
        <f>VLOOKUP(Tableau2[[#This Row],[Colonne1]],Tableau124[#All],12,FALSE)</f>
        <v xml:space="preserve">
vendredi 13H30 à 18H sur le site de Trévenans</v>
      </c>
      <c r="N35" s="377" t="str">
        <f>VLOOKUP(Tableau2[[#This Row],[Colonne1]],Tableau124[#All],13,FALSE)</f>
        <v xml:space="preserve">Intervention auprès de public majeurs </v>
      </c>
    </row>
    <row r="36" spans="2:14" ht="43.5">
      <c r="B36" s="164">
        <v>84</v>
      </c>
      <c r="C36" s="135" t="str">
        <f>VLOOKUP(Tableau2[[#This Row],[Colonne1]],Tableau124[#All],2,FALSE)</f>
        <v>Doubs (25)</v>
      </c>
      <c r="D36" s="135" t="str">
        <f>VLOOKUP(Tableau2[[#This Row],[Colonne1]],Tableau124[#All],3,FALSE)</f>
        <v>Valdahon</v>
      </c>
      <c r="E36" s="135">
        <f>VLOOKUP(Tableau2[[#This Row],[Colonne1]],Tableau124[#All],4,FALSE)</f>
        <v>25800</v>
      </c>
      <c r="F36" s="135" t="str">
        <f>VLOOKUP(Tableau2[[#This Row],[Colonne1]],Tableau124[#All],5,FALSE)</f>
        <v>Maison des Services 5 place de Gén de Gaulle</v>
      </c>
      <c r="G36" s="135" t="str">
        <f>VLOOKUP(Tableau2[[#This Row],[Colonne1]],Tableau124[#All],6,FALSE)</f>
        <v>CSAPA (consultations avancées)</v>
      </c>
      <c r="H36" s="135" t="str">
        <f>VLOOKUP(Tableau2[[#This Row],[Colonne1]],Tableau124[#All],7,FALSE)</f>
        <v>CSAPA SOLEA - ADDSEA Bourgogne Franche Comté - consultations avancées</v>
      </c>
      <c r="I36" s="135" t="str">
        <f>VLOOKUP(Tableau2[[#This Row],[Colonne1]],Tableau124[#All],8,FALSE)</f>
        <v>Associatif</v>
      </c>
      <c r="J36" s="383" t="str">
        <f>VLOOKUP(Tableau2[[#This Row],[Colonne1]],Tableau124[#All],9,FALSE)</f>
        <v>solea@addsea.fr</v>
      </c>
      <c r="K36" s="375">
        <f>VLOOKUP(Tableau2[[#This Row],[Colonne1]],Tableau124[#All],10,FALSE)</f>
        <v>381830332</v>
      </c>
      <c r="L36" s="387" t="str">
        <f>VLOOKUP(Tableau2[[#This Row],[Colonne1]],Tableau124[#All],11,FALSE)</f>
        <v xml:space="preserve"> </v>
      </c>
      <c r="M36" s="167" t="str">
        <f>VLOOKUP(Tableau2[[#This Row],[Colonne1]],Tableau124[#All],12,FALSE)</f>
        <v>semaine impaire de 9h à 17h</v>
      </c>
      <c r="N36" s="378" t="str">
        <f>VLOOKUP(Tableau2[[#This Row],[Colonne1]],Tableau124[#All],13,FALSE)</f>
        <v>Réalisation de consultations avancées</v>
      </c>
    </row>
    <row r="37" spans="2:14" ht="159.5">
      <c r="B37" s="164">
        <v>106</v>
      </c>
      <c r="C37" s="135" t="str">
        <f>VLOOKUP(Tableau2[[#This Row],[Colonne1]],Tableau124[#All],2,FALSE)</f>
        <v>Haute-Saône (70)</v>
      </c>
      <c r="D37" s="135" t="str">
        <f>VLOOKUP(Tableau2[[#This Row],[Colonne1]],Tableau124[#All],3,FALSE)</f>
        <v>Vesoul</v>
      </c>
      <c r="E37" s="135" t="str">
        <f>VLOOKUP(Tableau2[[#This Row],[Colonne1]],Tableau124[#All],4,FALSE)</f>
        <v>70000</v>
      </c>
      <c r="F37" s="135" t="str">
        <f>VLOOKUP(Tableau2[[#This Row],[Colonne1]],Tableau124[#All],5,FALSE)</f>
        <v>27 Av. Aristide Briand</v>
      </c>
      <c r="G37" s="135" t="str">
        <f>VLOOKUP(Tableau2[[#This Row],[Colonne1]],Tableau124[#All],6,FALSE)</f>
        <v>CSAPA</v>
      </c>
      <c r="H37" s="135" t="str">
        <f>VLOOKUP(Tableau2[[#This Row],[Colonne1]],Tableau124[#All],7,FALSE)</f>
        <v>Association Addictions France en Haute-Saône</v>
      </c>
      <c r="I37" s="135" t="str">
        <f>VLOOKUP(Tableau2[[#This Row],[Colonne1]],Tableau124[#All],8,FALSE)</f>
        <v>Associatif</v>
      </c>
      <c r="J37" s="383" t="str">
        <f>VLOOKUP(Tableau2[[#This Row],[Colonne1]],Tableau124[#All],9,FALSE)</f>
        <v>csapa.vesoul@addictions-france.org</v>
      </c>
      <c r="K37" s="375" t="str">
        <f>VLOOKUP(Tableau2[[#This Row],[Colonne1]],Tableau124[#All],10,FALSE)</f>
        <v>03-84-76-75-75</v>
      </c>
      <c r="L37" s="269" t="str">
        <f>VLOOKUP(Tableau2[[#This Row],[Colonne1]],Tableau124[#All],11,FALSE)</f>
        <v>https://addictions-france.org</v>
      </c>
      <c r="M37" s="167" t="str">
        <f>VLOOKUP(Tableau2[[#This Row],[Colonne1]],Tableau124[#All],12,FALSE)</f>
        <v xml:space="preserve">Lundi au vendredi : 9h - 12h30 / 13h - 17h (ouverture du secrétariat) 
Mardi et mercredi :  9h - 12h30 / 13h - 19h (consultations)
</v>
      </c>
      <c r="N37" s="380" t="str">
        <f>VLOOKUP(Tableau2[[#This Row],[Colonne1]],Tableau124[#All],13,FALSE)</f>
        <v>- Réalisation de consultations avancées sur Vesoul, Fontaine-les-Dijon, Avallon, Vesoul, Lure,  Vesoul, Gray, Luxeuil-les-Bains, Noidans-Le-Ferroux, CPP Gray, Vesoul, Jussey, Rioz ;
- intervention en milieu pénitentiaire à la maison d'arrêt de Vesoul
- mise à disposition de matériel de consommation à moindre risque ;
- dispositifs anti-overdose à disposition ; 
- présence d'une CJC
- 2 antennes : à Gray et Luxueil les Bains</v>
      </c>
    </row>
    <row r="38" spans="2:14" ht="43.5">
      <c r="B38" s="164">
        <v>107</v>
      </c>
      <c r="C38" s="135" t="str">
        <f>VLOOKUP(Tableau2[[#This Row],[Colonne1]],Tableau124[#All],2,FALSE)</f>
        <v>Haute-Saône (70)</v>
      </c>
      <c r="D38" s="135" t="str">
        <f>VLOOKUP(Tableau2[[#This Row],[Colonne1]],Tableau124[#All],3,FALSE)</f>
        <v>Vesoul</v>
      </c>
      <c r="E38" s="135">
        <f>VLOOKUP(Tableau2[[#This Row],[Colonne1]],Tableau124[#All],4,FALSE)</f>
        <v>70000</v>
      </c>
      <c r="F38" s="135" t="str">
        <f>VLOOKUP(Tableau2[[#This Row],[Colonne1]],Tableau124[#All],5,FALSE)</f>
        <v>MDA de Vesoul - 19, rue de la Banque</v>
      </c>
      <c r="G38" s="135" t="str">
        <f>VLOOKUP(Tableau2[[#This Row],[Colonne1]],Tableau124[#All],6,FALSE)</f>
        <v>CSAPA (consultations avancées)</v>
      </c>
      <c r="H38" s="135" t="str">
        <f>VLOOKUP(Tableau2[[#This Row],[Colonne1]],Tableau124[#All],7,FALSE)</f>
        <v>Association Addictions France en Haute-Saône - consultations avancées</v>
      </c>
      <c r="I38" s="135" t="str">
        <f>VLOOKUP(Tableau2[[#This Row],[Colonne1]],Tableau124[#All],8,FALSE)</f>
        <v>Associatif</v>
      </c>
      <c r="J38" s="383" t="str">
        <f>VLOOKUP(Tableau2[[#This Row],[Colonne1]],Tableau124[#All],9,FALSE)</f>
        <v>bfc70@addictions-france.org</v>
      </c>
      <c r="K38" s="375" t="str">
        <f>VLOOKUP(Tableau2[[#This Row],[Colonne1]],Tableau124[#All],10,FALSE)</f>
        <v>03-84-76-75-78</v>
      </c>
      <c r="L38" s="383" t="str">
        <f>VLOOKUP(Tableau2[[#This Row],[Colonne1]],Tableau124[#All],11,FALSE)</f>
        <v>https://addictions-france.org</v>
      </c>
      <c r="M38" s="167" t="str">
        <f>VLOOKUP(Tableau2[[#This Row],[Colonne1]],Tableau124[#All],12,FALSE)</f>
        <v>Jeudi 12h30 -16h</v>
      </c>
      <c r="N38" s="378" t="str">
        <f>VLOOKUP(Tableau2[[#This Row],[Colonne1]],Tableau124[#All],13,FALSE)</f>
        <v>Réalisation de consultations avancées</v>
      </c>
    </row>
    <row r="39" spans="2:14" ht="43.5">
      <c r="B39" s="164">
        <v>108</v>
      </c>
      <c r="C39" s="135" t="str">
        <f>VLOOKUP(Tableau2[[#This Row],[Colonne1]],Tableau124[#All],2,FALSE)</f>
        <v>Haute-Saône (70)</v>
      </c>
      <c r="D39" s="135" t="str">
        <f>VLOOKUP(Tableau2[[#This Row],[Colonne1]],Tableau124[#All],3,FALSE)</f>
        <v>Vesoul</v>
      </c>
      <c r="E39" s="135">
        <f>VLOOKUP(Tableau2[[#This Row],[Colonne1]],Tableau124[#All],4,FALSE)</f>
        <v>70000</v>
      </c>
      <c r="F39" s="135" t="str">
        <f>VLOOKUP(Tableau2[[#This Row],[Colonne1]],Tableau124[#All],5,FALSE)</f>
        <v>AHSRA - 2, rue René Hologne</v>
      </c>
      <c r="G39" s="135" t="str">
        <f>VLOOKUP(Tableau2[[#This Row],[Colonne1]],Tableau124[#All],6,FALSE)</f>
        <v>CSAPA (consultations avancées)</v>
      </c>
      <c r="H39" s="135" t="str">
        <f>VLOOKUP(Tableau2[[#This Row],[Colonne1]],Tableau124[#All],7,FALSE)</f>
        <v>Association Addictions France en Haute-Saône - consultations avancées</v>
      </c>
      <c r="I39" s="135" t="str">
        <f>VLOOKUP(Tableau2[[#This Row],[Colonne1]],Tableau124[#All],8,FALSE)</f>
        <v>Associatif</v>
      </c>
      <c r="J39" s="383" t="str">
        <f>VLOOKUP(Tableau2[[#This Row],[Colonne1]],Tableau124[#All],9,FALSE)</f>
        <v>csapa.vesoul@addictions-france.org</v>
      </c>
      <c r="K39" s="375" t="str">
        <f>VLOOKUP(Tableau2[[#This Row],[Colonne1]],Tableau124[#All],10,FALSE)</f>
        <v>03-84-76-75-75</v>
      </c>
      <c r="L39" s="383" t="str">
        <f>VLOOKUP(Tableau2[[#This Row],[Colonne1]],Tableau124[#All],11,FALSE)</f>
        <v>https://addictions-france.org</v>
      </c>
      <c r="M39" s="167" t="str">
        <f>VLOOKUP(Tableau2[[#This Row],[Colonne1]],Tableau124[#All],12,FALSE)</f>
        <v xml:space="preserve"> Jeudi 9h-12h (semaines impaires) </v>
      </c>
      <c r="N39" s="378" t="str">
        <f>VLOOKUP(Tableau2[[#This Row],[Colonne1]],Tableau124[#All],13,FALSE)</f>
        <v>Réalisation de consultations avancées
Consultations avancées en CHRS</v>
      </c>
    </row>
    <row r="40" spans="2:14" ht="43.5">
      <c r="B40" s="164">
        <v>109</v>
      </c>
      <c r="C40" s="135" t="str">
        <f>VLOOKUP(Tableau2[[#This Row],[Colonne1]],Tableau124[#All],2,FALSE)</f>
        <v>Haute-Saône (70)</v>
      </c>
      <c r="D40" s="135" t="str">
        <f>VLOOKUP(Tableau2[[#This Row],[Colonne1]],Tableau124[#All],3,FALSE)</f>
        <v>Vesoul</v>
      </c>
      <c r="E40" s="135">
        <f>VLOOKUP(Tableau2[[#This Row],[Colonne1]],Tableau124[#All],4,FALSE)</f>
        <v>70000</v>
      </c>
      <c r="F40" s="135" t="str">
        <f>VLOOKUP(Tableau2[[#This Row],[Colonne1]],Tableau124[#All],5,FALSE)</f>
        <v>Maison d'Arrêt - Place Beauchamp</v>
      </c>
      <c r="G40" s="135" t="str">
        <f>VLOOKUP(Tableau2[[#This Row],[Colonne1]],Tableau124[#All],6,FALSE)</f>
        <v>CSAPA (consultations avancées)</v>
      </c>
      <c r="H40" s="135" t="str">
        <f>VLOOKUP(Tableau2[[#This Row],[Colonne1]],Tableau124[#All],7,FALSE)</f>
        <v>Association Addictions France en Haute-Saône - consultations avancées</v>
      </c>
      <c r="I40" s="135" t="str">
        <f>VLOOKUP(Tableau2[[#This Row],[Colonne1]],Tableau124[#All],8,FALSE)</f>
        <v>Associatif</v>
      </c>
      <c r="J40" s="272" t="str">
        <f>VLOOKUP(Tableau2[[#This Row],[Colonne1]],Tableau124[#All],9,FALSE)</f>
        <v>csapa.vesoul@addictions-france.org</v>
      </c>
      <c r="K40" s="204" t="str">
        <f>VLOOKUP(Tableau2[[#This Row],[Colonne1]],Tableau124[#All],10,FALSE)</f>
        <v xml:space="preserve"> 03-84-76-75-75</v>
      </c>
      <c r="L40" s="383" t="str">
        <f>VLOOKUP(Tableau2[[#This Row],[Colonne1]],Tableau124[#All],11,FALSE)</f>
        <v>https://addictions-france.org</v>
      </c>
      <c r="M40" s="135" t="str">
        <f>VLOOKUP(Tableau2[[#This Row],[Colonne1]],Tableau124[#All],12,FALSE)</f>
        <v>Jeudi 13h30-16h30</v>
      </c>
      <c r="N40" s="373" t="str">
        <f>VLOOKUP(Tableau2[[#This Row],[Colonne1]],Tableau124[#All],13,FALSE)</f>
        <v>Réalisation de consultations avancées</v>
      </c>
    </row>
    <row r="41" spans="2:14" ht="87">
      <c r="B41" s="164">
        <v>103</v>
      </c>
      <c r="C41" s="390" t="str">
        <f>VLOOKUP(Tableau2[[#This Row],[Colonne1]],Tableau124[#All],2,FALSE)</f>
        <v>Haute-Saône (70)</v>
      </c>
      <c r="D41" s="171" t="str">
        <f>VLOOKUP(Tableau2[[#This Row],[Colonne1]],Tableau124[#All],3,FALSE)</f>
        <v>Vesoul</v>
      </c>
      <c r="E41" s="171" t="str">
        <f>VLOOKUP(Tableau2[[#This Row],[Colonne1]],Tableau124[#All],4,FALSE)</f>
        <v>70000</v>
      </c>
      <c r="F41" s="171" t="str">
        <f>VLOOKUP(Tableau2[[#This Row],[Colonne1]],Tableau124[#All],5,FALSE)</f>
        <v>27 Av. Aristide Briand</v>
      </c>
      <c r="G41" s="171" t="str">
        <f>VLOOKUP(Tableau2[[#This Row],[Colonne1]],Tableau124[#All],6,FALSE)</f>
        <v>CAARUD</v>
      </c>
      <c r="H41" s="171" t="str">
        <f>VLOOKUP(Tableau2[[#This Row],[Colonne1]],Tableau124[#All],7,FALSE)</f>
        <v>Association Addictions France en Haute-Saône</v>
      </c>
      <c r="I41" s="171" t="str">
        <f>VLOOKUP(Tableau2[[#This Row],[Colonne1]],Tableau124[#All],8,FALSE)</f>
        <v>Associatif</v>
      </c>
      <c r="J41" s="297" t="str">
        <f>VLOOKUP(Tableau2[[#This Row],[Colonne1]],Tableau124[#All],9,FALSE)</f>
        <v>caarud.vesoul@addictions-france.org</v>
      </c>
      <c r="K41" s="201">
        <f>VLOOKUP(Tableau2[[#This Row],[Colonne1]],Tableau124[#All],10,FALSE)</f>
        <v>384767575</v>
      </c>
      <c r="L41" s="384" t="str">
        <f>VLOOKUP(Tableau2[[#This Row],[Colonne1]],Tableau124[#All],11,FALSE)</f>
        <v>https://addictions-france.org</v>
      </c>
      <c r="M41" s="172" t="str">
        <f>VLOOKUP(Tableau2[[#This Row],[Colonne1]],Tableau124[#All],12,FALSE)</f>
        <v>Lundi : 10h-12h / 13h30 - 16h
Mardi : 9h 12h  
Jeudi : 9h-12h / 13h30 - 16h
Vendredi : sur rendez-vous</v>
      </c>
      <c r="N41" s="460" t="str">
        <f>VLOOKUP(Tableau2[[#This Row],[Colonne1]],Tableau124[#All],13,FALSE)</f>
        <v>- Unité mobile pouvant servir de lieu d'accueil (déplacement possible sur l’ensemble du territoire Haut-Saônois) ; 
- Programme d'échange de seringues ;
- Intervention en maraude ; 
- Intervention en milieu festif.</v>
      </c>
    </row>
    <row r="42" spans="2:14" ht="101.5">
      <c r="B42" s="164">
        <v>104</v>
      </c>
      <c r="C42" s="391" t="str">
        <f>VLOOKUP(Tableau2[[#This Row],[Colonne1]],Tableau124[#All],2,FALSE)</f>
        <v>Haute-Saône (70)</v>
      </c>
      <c r="D42" s="392" t="str">
        <f>VLOOKUP(Tableau2[[#This Row],[Colonne1]],Tableau124[#All],3,FALSE)</f>
        <v>Vesoul</v>
      </c>
      <c r="E42" s="392" t="str">
        <f>VLOOKUP(Tableau2[[#This Row],[Colonne1]],Tableau124[#All],4,FALSE)</f>
        <v>70000</v>
      </c>
      <c r="F42" s="392" t="str">
        <f>VLOOKUP(Tableau2[[#This Row],[Colonne1]],Tableau124[#All],5,FALSE)</f>
        <v>27 Av. Aristide Briand</v>
      </c>
      <c r="G42" s="392" t="str">
        <f>VLOOKUP(Tableau2[[#This Row],[Colonne1]],Tableau124[#All],6,FALSE)</f>
        <v>CJC</v>
      </c>
      <c r="H42" s="392" t="str">
        <f>VLOOKUP(Tableau2[[#This Row],[Colonne1]],Tableau124[#All],7,FALSE)</f>
        <v>Association Addictions France en Haute-Saône</v>
      </c>
      <c r="I42" s="392" t="str">
        <f>VLOOKUP(Tableau2[[#This Row],[Colonne1]],Tableau124[#All],8,FALSE)</f>
        <v>Associatif</v>
      </c>
      <c r="J42" s="395" t="str">
        <f>VLOOKUP(Tableau2[[#This Row],[Colonne1]],Tableau124[#All],9,FALSE)</f>
        <v>csapa.vesoul@addictions-france.org</v>
      </c>
      <c r="K42" s="396" t="str">
        <f>VLOOKUP(Tableau2[[#This Row],[Colonne1]],Tableau124[#All],10,FALSE)</f>
        <v>03-84-76-75-75</v>
      </c>
      <c r="L42" s="398" t="str">
        <f>VLOOKUP(Tableau2[[#This Row],[Colonne1]],Tableau124[#All],11,FALSE)</f>
        <v>https://addictions-france.org</v>
      </c>
      <c r="M42" s="397" t="str">
        <f>VLOOKUP(Tableau2[[#This Row],[Colonne1]],Tableau124[#All],12,FALSE)</f>
        <v xml:space="preserve">Lundi, jeudi et vendredi : 8h30-12h30 / 13h-17h
Mardi : 8h30-12h30 / 13h-19h (fermeture de 14h à 16h les 2èmes mardis du mois)
Mercredi 13h-16h30 (semaines impaires) </v>
      </c>
      <c r="N42" s="394" t="str">
        <f>VLOOKUP(Tableau2[[#This Row],[Colonne1]],Tableau124[#All],13,FALSE)</f>
        <v>- Accueil des familles ; 
- Orientation sur rendez-vous ;
- CJC accessible à la famille et l'entourage ; 
- locaux identiques à ceux du CSAPA. 
Accessible à la famille et l'entourage</v>
      </c>
    </row>
    <row r="43" spans="2:14" ht="58">
      <c r="B43" s="164">
        <v>105</v>
      </c>
      <c r="C43" s="371" t="str">
        <f>VLOOKUP(Tableau2[[#This Row],[Colonne1]],Tableau124[#All],2,FALSE)</f>
        <v>Haute-Saône (70)</v>
      </c>
      <c r="D43" s="104" t="str">
        <f>VLOOKUP(Tableau2[[#This Row],[Colonne1]],Tableau124[#All],3,FALSE)</f>
        <v>Vesoul</v>
      </c>
      <c r="E43" s="104">
        <f>VLOOKUP(Tableau2[[#This Row],[Colonne1]],Tableau124[#All],4,FALSE)</f>
        <v>70000</v>
      </c>
      <c r="F43" s="104" t="str">
        <f>VLOOKUP(Tableau2[[#This Row],[Colonne1]],Tableau124[#All],5,FALSE)</f>
        <v>2 Rue René Heymes</v>
      </c>
      <c r="G43" s="104" t="str">
        <f>VLOOKUP(Tableau2[[#This Row],[Colonne1]],Tableau124[#All],6,FALSE)</f>
        <v>Consultations Hospitalières externes d'addictologie (autre lieu d'intervention)</v>
      </c>
      <c r="H43" s="104" t="str">
        <f>VLOOKUP(Tableau2[[#This Row],[Colonne1]],Tableau124[#All],7,FALSE)</f>
        <v>Consultation d'addictologie et de tabacologie (Groupe Hospitalier de la Haute-Saône (GH70))</v>
      </c>
      <c r="I43" s="104" t="str">
        <f>VLOOKUP(Tableau2[[#This Row],[Colonne1]],Tableau124[#All],8,FALSE)</f>
        <v>Public</v>
      </c>
      <c r="J43" s="264" t="str">
        <f>VLOOKUP(Tableau2[[#This Row],[Colonne1]],Tableau124[#All],9,FALSE)</f>
        <v>contact@gh70.fr</v>
      </c>
      <c r="K43" s="200" t="str">
        <f>VLOOKUP(Tableau2[[#This Row],[Colonne1]],Tableau124[#All],10,FALSE)</f>
        <v>03 84 62 43 82</v>
      </c>
      <c r="L43" s="382" t="str">
        <f>VLOOKUP(Tableau2[[#This Row],[Colonne1]],Tableau124[#All],11,FALSE)</f>
        <v>https://www.gh70.fr</v>
      </c>
      <c r="M43" s="122" t="str">
        <f>VLOOKUP(Tableau2[[#This Row],[Colonne1]],Tableau124[#All],12,FALSE)</f>
        <v>9h - 17h du lundi au vendredi</v>
      </c>
      <c r="N43" s="377" t="str">
        <f>VLOOKUP(Tableau2[[#This Row],[Colonne1]],Tableau124[#All],13,FALSE)</f>
        <v>Intervention auprès de public majeurs et mineurs ainsi qu'au Groupe Hospitalier de la Haute-Saône (GH70)</v>
      </c>
    </row>
    <row r="44" spans="2:14" ht="43.5">
      <c r="B44" s="164">
        <v>114</v>
      </c>
      <c r="C44" s="391" t="str">
        <f>VLOOKUP(Tableau2[[#This Row],[Colonne1]],Tableau124[#All],2,FALSE)</f>
        <v>Haute-Saône (70)</v>
      </c>
      <c r="D44" s="399" t="str">
        <f>VLOOKUP(Tableau2[[#This Row],[Colonne1]],Tableau124[#All],3,FALSE)</f>
        <v>Vesoul</v>
      </c>
      <c r="E44" s="399">
        <f>VLOOKUP(Tableau2[[#This Row],[Colonne1]],Tableau124[#All],4,FALSE)</f>
        <v>70000</v>
      </c>
      <c r="F44" s="399" t="str">
        <f>VLOOKUP(Tableau2[[#This Row],[Colonne1]],Tableau124[#All],5,FALSE)</f>
        <v>MDA Vesoul : 19 rue de la Banque 4ème étage</v>
      </c>
      <c r="G44" s="399" t="str">
        <f>VLOOKUP(Tableau2[[#This Row],[Colonne1]],Tableau124[#All],6,FALSE)</f>
        <v>CJC</v>
      </c>
      <c r="H44" s="399" t="str">
        <f>VLOOKUP(Tableau2[[#This Row],[Colonne1]],Tableau124[#All],7,FALSE)</f>
        <v>CSAPA Vesoul</v>
      </c>
      <c r="I44" s="399" t="str">
        <f>VLOOKUP(Tableau2[[#This Row],[Colonne1]],Tableau124[#All],8,FALSE)</f>
        <v>Associatif</v>
      </c>
      <c r="J44" s="457" t="str">
        <f>VLOOKUP(Tableau2[[#This Row],[Colonne1]],Tableau124[#All],9,FALSE)</f>
        <v>csapa.vesoul@addictions-france.org</v>
      </c>
      <c r="K44" s="393" t="str">
        <f>VLOOKUP(Tableau2[[#This Row],[Colonne1]],Tableau124[#All],10,FALSE)</f>
        <v>03-84-76-75-75</v>
      </c>
      <c r="L44" s="459" t="str">
        <f>VLOOKUP(Tableau2[[#This Row],[Colonne1]],Tableau124[#All],11,FALSE)</f>
        <v>https://addictions-france.org</v>
      </c>
      <c r="M44" s="458"/>
      <c r="N44" s="463" t="str">
        <f>VLOOKUP(Tableau2[[#This Row],[Colonne1]],Tableau124[#All],13,FALSE)</f>
        <v>CJC avancées ; Orientation sur rendez-vous ; accessible à la famille et l'entourage</v>
      </c>
    </row>
    <row r="45" spans="2:14" ht="29">
      <c r="B45" s="164">
        <v>115</v>
      </c>
      <c r="C45" s="135" t="str">
        <f>VLOOKUP(Tableau2[[#This Row],[Colonne1]],Tableau124[#All],2,FALSE)</f>
        <v>Haute-Saône (70)</v>
      </c>
      <c r="D45" s="96" t="str">
        <f>VLOOKUP(Tableau2[[#This Row],[Colonne1]],Tableau124[#All],3,FALSE)</f>
        <v xml:space="preserve">Vesoul </v>
      </c>
      <c r="E45" s="96">
        <f>VLOOKUP(Tableau2[[#This Row],[Colonne1]],Tableau124[#All],4,FALSE)</f>
        <v>70000</v>
      </c>
      <c r="F45" s="96" t="str">
        <f>VLOOKUP(Tableau2[[#This Row],[Colonne1]],Tableau124[#All],5,FALSE)</f>
        <v>SAFED – 100 rue Baron Bouvier</v>
      </c>
      <c r="G45" s="135" t="str">
        <f>VLOOKUP(Tableau2[[#This Row],[Colonne1]],Tableau124[#All],6,FALSE)</f>
        <v>CSAPA (consultations avancées)</v>
      </c>
      <c r="H45" s="135" t="str">
        <f>VLOOKUP(Tableau2[[#This Row],[Colonne1]],Tableau124[#All],7,FALSE)</f>
        <v>Association Addictions France en Haute-Saône</v>
      </c>
      <c r="I45" s="96" t="str">
        <f>VLOOKUP(Tableau2[[#This Row],[Colonne1]],Tableau124[#All],8,FALSE)</f>
        <v>Associatif</v>
      </c>
      <c r="J45" s="386" t="str">
        <f>VLOOKUP(Tableau2[[#This Row],[Colonne1]],Tableau124[#All],9,FALSE)</f>
        <v xml:space="preserve"> csapa.vesoul@addictions-france.org</v>
      </c>
      <c r="K45" s="375" t="str">
        <f>VLOOKUP(Tableau2[[#This Row],[Colonne1]],Tableau124[#All],10,FALSE)</f>
        <v>03-84-76-75-75</v>
      </c>
      <c r="L45" s="383" t="str">
        <f>VLOOKUP(Tableau2[[#This Row],[Colonne1]],Tableau124[#All],11,FALSE)</f>
        <v>https://addictions-france.org</v>
      </c>
      <c r="M45" s="167" t="str">
        <f>VLOOKUP(Tableau2[[#This Row],[Colonne1]],Tableau124[#All],12,FALSE)</f>
        <v xml:space="preserve"> Vendredi 14h-16h (semaines paires) </v>
      </c>
      <c r="N45" s="378" t="str">
        <f>VLOOKUP(Tableau2[[#This Row],[Colonne1]],Tableau124[#All],13,FALSE)</f>
        <v>Consultations avancées en CHRS</v>
      </c>
    </row>
  </sheetData>
  <mergeCells count="1">
    <mergeCell ref="C3:N3"/>
  </mergeCells>
  <phoneticPr fontId="8" type="noConversion"/>
  <hyperlinks>
    <hyperlink ref="J51" r:id="rId1" display="mailto:contact@ch-sens.fr" xr:uid="{00000000-0004-0000-1100-000000000000}"/>
    <hyperlink ref="L69" r:id="rId2" display="https://www.gh70.fr/" xr:uid="{00000000-0004-0000-1100-000001000000}"/>
    <hyperlink ref="J48" r:id="rId3" display="mailto:secretariat.psychiatrie@ch-semur.fr" xr:uid="{00000000-0004-0000-1100-000002000000}"/>
    <hyperlink ref="L48" r:id="rId4" display="http://www.ch-semur.fr/" xr:uid="{00000000-0004-0000-1100-000003000000}"/>
    <hyperlink ref="J56" r:id="rId5" display="mailto:chs@ch-sevrey.fr" xr:uid="{00000000-0004-0000-1100-000004000000}"/>
    <hyperlink ref="J54" r:id="rId6" display="mailto:contact@ch-sens.fr" xr:uid="{00000000-0004-0000-1100-000005000000}"/>
    <hyperlink ref="J58" r:id="rId7" display="mailto:chs@ch-sevrey.fr" xr:uid="{00000000-0004-0000-1100-000006000000}"/>
    <hyperlink ref="J55" r:id="rId8" display="mailto:contact@ch-sens.fr" xr:uid="{00000000-0004-0000-1100-000007000000}"/>
  </hyperlinks>
  <pageMargins left="0.7" right="0.7" top="0.75" bottom="0.75" header="0.3" footer="0.3"/>
  <pageSetup paperSize="9" orientation="portrait" r:id="rId9"/>
  <drawing r:id="rId10"/>
  <tableParts count="1">
    <tablePart r:id="rId1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9" tint="-0.499984740745262"/>
  </sheetPr>
  <dimension ref="A1:O236"/>
  <sheetViews>
    <sheetView tabSelected="1" topLeftCell="A13" zoomScale="70" zoomScaleNormal="70" workbookViewId="0">
      <selection activeCell="F16" sqref="A1:O236"/>
    </sheetView>
  </sheetViews>
  <sheetFormatPr baseColWidth="10" defaultColWidth="10.54296875" defaultRowHeight="14.5"/>
  <cols>
    <col min="1" max="1" width="16.54296875" style="8" customWidth="1"/>
    <col min="2" max="2" width="9.81640625" style="137" customWidth="1"/>
    <col min="3" max="3" width="28.453125" style="175" customWidth="1"/>
    <col min="4" max="4" width="22.453125" style="175" customWidth="1"/>
    <col min="5" max="5" width="14" style="175" customWidth="1"/>
    <col min="6" max="6" width="59.54296875" style="175" customWidth="1"/>
    <col min="7" max="7" width="38.54296875" style="176" bestFit="1" customWidth="1"/>
    <col min="8" max="8" width="57.1796875" style="175" bestFit="1" customWidth="1"/>
    <col min="9" max="9" width="25.81640625" style="176" bestFit="1" customWidth="1"/>
    <col min="10" max="10" width="26.81640625" style="1" bestFit="1" customWidth="1"/>
    <col min="11" max="11" width="33.1796875" style="176" bestFit="1" customWidth="1"/>
    <col min="12" max="12" width="28.54296875" style="1" bestFit="1" customWidth="1"/>
    <col min="13" max="13" width="58.54296875" style="229" customWidth="1"/>
    <col min="14" max="14" width="130.26953125" style="229" customWidth="1"/>
    <col min="15" max="15" width="10.54296875" style="1" customWidth="1"/>
    <col min="16" max="16384" width="10.54296875" style="1"/>
  </cols>
  <sheetData>
    <row r="1" spans="1:15" ht="57.75" customHeight="1">
      <c r="B1" s="138"/>
      <c r="C1" s="173"/>
      <c r="D1" s="173"/>
      <c r="E1" s="173"/>
      <c r="F1" s="173"/>
      <c r="G1" s="174"/>
      <c r="H1" s="173"/>
      <c r="I1" s="174"/>
      <c r="J1" s="8"/>
      <c r="K1" s="402"/>
      <c r="L1" s="67" t="s">
        <v>15</v>
      </c>
      <c r="M1" s="228"/>
    </row>
    <row r="2" spans="1:15" ht="11.15" customHeight="1"/>
    <row r="3" spans="1:15" ht="20.149999999999999" customHeight="1">
      <c r="C3" s="617" t="s">
        <v>16</v>
      </c>
      <c r="D3" s="617"/>
      <c r="E3" s="617"/>
      <c r="F3" s="617"/>
      <c r="G3" s="617"/>
      <c r="H3" s="617"/>
      <c r="I3" s="617"/>
      <c r="J3" s="617"/>
      <c r="K3" s="617"/>
      <c r="L3" s="617"/>
      <c r="M3" s="617"/>
      <c r="N3" s="617"/>
    </row>
    <row r="5" spans="1:15" ht="43.5">
      <c r="A5" s="9"/>
      <c r="B5" s="481" t="s">
        <v>17</v>
      </c>
      <c r="C5" s="177" t="s">
        <v>18</v>
      </c>
      <c r="D5" s="177" t="s">
        <v>19</v>
      </c>
      <c r="E5" s="177" t="s">
        <v>20</v>
      </c>
      <c r="F5" s="177" t="s">
        <v>21</v>
      </c>
      <c r="G5" s="177" t="s">
        <v>22</v>
      </c>
      <c r="H5" s="177" t="s">
        <v>23</v>
      </c>
      <c r="I5" s="177" t="s">
        <v>24</v>
      </c>
      <c r="J5" s="60" t="s">
        <v>25</v>
      </c>
      <c r="K5" s="177" t="s">
        <v>26</v>
      </c>
      <c r="L5" s="60" t="s">
        <v>27</v>
      </c>
      <c r="M5" s="177" t="s">
        <v>28</v>
      </c>
      <c r="N5" s="177" t="s">
        <v>29</v>
      </c>
      <c r="O5" s="23" t="s">
        <v>30</v>
      </c>
    </row>
    <row r="6" spans="1:15">
      <c r="B6" s="158">
        <v>116</v>
      </c>
      <c r="C6" s="190" t="s">
        <v>31</v>
      </c>
      <c r="D6" s="135" t="s">
        <v>32</v>
      </c>
      <c r="E6" s="135">
        <v>39600</v>
      </c>
      <c r="F6" s="135" t="s">
        <v>33</v>
      </c>
      <c r="G6" s="135" t="s">
        <v>34</v>
      </c>
      <c r="H6" s="135" t="s">
        <v>35</v>
      </c>
      <c r="I6" s="135" t="s">
        <v>36</v>
      </c>
      <c r="J6" s="84" t="s">
        <v>37</v>
      </c>
      <c r="K6" s="199" t="s">
        <v>38</v>
      </c>
      <c r="L6" s="269" t="s">
        <v>39</v>
      </c>
      <c r="M6" s="96" t="s">
        <v>40</v>
      </c>
      <c r="N6" s="215" t="s">
        <v>41</v>
      </c>
      <c r="O6" s="147" t="e">
        <v>#N/A</v>
      </c>
    </row>
    <row r="7" spans="1:15" ht="29">
      <c r="B7" s="139">
        <v>160</v>
      </c>
      <c r="C7" s="190" t="s">
        <v>42</v>
      </c>
      <c r="D7" s="135" t="s">
        <v>43</v>
      </c>
      <c r="E7" s="135">
        <v>71400</v>
      </c>
      <c r="F7" s="135" t="s">
        <v>44</v>
      </c>
      <c r="G7" s="135" t="s">
        <v>34</v>
      </c>
      <c r="H7" s="135" t="s">
        <v>45</v>
      </c>
      <c r="I7" s="135" t="s">
        <v>36</v>
      </c>
      <c r="J7" s="275" t="s">
        <v>46</v>
      </c>
      <c r="K7" s="135" t="s">
        <v>47</v>
      </c>
      <c r="L7" s="83"/>
      <c r="M7" s="135" t="s">
        <v>48</v>
      </c>
      <c r="N7" s="191" t="s">
        <v>49</v>
      </c>
      <c r="O7" s="147" t="e">
        <v>#N/A</v>
      </c>
    </row>
    <row r="8" spans="1:15" ht="29">
      <c r="B8" s="139">
        <v>161</v>
      </c>
      <c r="C8" s="389" t="s">
        <v>42</v>
      </c>
      <c r="D8" s="104" t="s">
        <v>43</v>
      </c>
      <c r="E8" s="104" t="s">
        <v>50</v>
      </c>
      <c r="F8" s="104" t="s">
        <v>51</v>
      </c>
      <c r="G8" s="104" t="s">
        <v>7</v>
      </c>
      <c r="H8" s="104" t="s">
        <v>52</v>
      </c>
      <c r="I8" s="104" t="s">
        <v>53</v>
      </c>
      <c r="J8" s="264" t="s">
        <v>54</v>
      </c>
      <c r="K8" s="200" t="s">
        <v>55</v>
      </c>
      <c r="L8" s="266" t="s">
        <v>56</v>
      </c>
      <c r="M8" s="122" t="s">
        <v>57</v>
      </c>
      <c r="N8" s="123" t="s">
        <v>58</v>
      </c>
      <c r="O8" s="147" t="e">
        <v>#N/A</v>
      </c>
    </row>
    <row r="9" spans="1:15" ht="29">
      <c r="B9" s="139">
        <v>162</v>
      </c>
      <c r="C9" s="333" t="s">
        <v>42</v>
      </c>
      <c r="D9" s="119" t="s">
        <v>43</v>
      </c>
      <c r="E9" s="119" t="s">
        <v>50</v>
      </c>
      <c r="F9" s="119" t="s">
        <v>59</v>
      </c>
      <c r="G9" s="121" t="s">
        <v>60</v>
      </c>
      <c r="H9" s="119" t="s">
        <v>52</v>
      </c>
      <c r="I9" s="119" t="s">
        <v>53</v>
      </c>
      <c r="J9" s="277" t="s">
        <v>54</v>
      </c>
      <c r="K9" s="119" t="s">
        <v>55</v>
      </c>
      <c r="L9" s="266" t="s">
        <v>56</v>
      </c>
      <c r="M9" s="216" t="s">
        <v>56</v>
      </c>
      <c r="N9" s="231" t="s">
        <v>61</v>
      </c>
      <c r="O9" s="147" t="e">
        <v>#N/A</v>
      </c>
    </row>
    <row r="10" spans="1:15" ht="116">
      <c r="B10" s="139">
        <v>163</v>
      </c>
      <c r="C10" s="189" t="s">
        <v>42</v>
      </c>
      <c r="D10" s="193" t="s">
        <v>43</v>
      </c>
      <c r="E10" s="193" t="s">
        <v>50</v>
      </c>
      <c r="F10" s="93" t="s">
        <v>62</v>
      </c>
      <c r="G10" s="193" t="s">
        <v>9</v>
      </c>
      <c r="H10" s="193" t="s">
        <v>63</v>
      </c>
      <c r="I10" s="93" t="s">
        <v>53</v>
      </c>
      <c r="J10" s="133" t="s">
        <v>64</v>
      </c>
      <c r="K10" s="193" t="s">
        <v>65</v>
      </c>
      <c r="L10" s="281" t="s">
        <v>66</v>
      </c>
      <c r="M10" s="215" t="s">
        <v>56</v>
      </c>
      <c r="N10" s="232" t="s">
        <v>67</v>
      </c>
      <c r="O10" s="147" t="e">
        <v>#N/A</v>
      </c>
    </row>
    <row r="11" spans="1:15" ht="58">
      <c r="B11" s="139">
        <v>208</v>
      </c>
      <c r="C11" s="466" t="s">
        <v>68</v>
      </c>
      <c r="D11" s="171" t="s">
        <v>69</v>
      </c>
      <c r="E11" s="171" t="s">
        <v>70</v>
      </c>
      <c r="F11" s="171" t="s">
        <v>71</v>
      </c>
      <c r="G11" s="171" t="s">
        <v>5</v>
      </c>
      <c r="H11" s="171" t="s">
        <v>72</v>
      </c>
      <c r="I11" s="171" t="s">
        <v>36</v>
      </c>
      <c r="J11" s="297" t="s">
        <v>73</v>
      </c>
      <c r="K11" s="201" t="s">
        <v>74</v>
      </c>
      <c r="L11" s="103" t="s">
        <v>75</v>
      </c>
      <c r="M11" s="172" t="s">
        <v>76</v>
      </c>
      <c r="N11" s="233" t="s">
        <v>77</v>
      </c>
      <c r="O11" s="147" t="e">
        <v>#N/A</v>
      </c>
    </row>
    <row r="12" spans="1:15" ht="101.5">
      <c r="B12" s="139">
        <v>209</v>
      </c>
      <c r="C12" s="422" t="s">
        <v>68</v>
      </c>
      <c r="D12" s="250" t="s">
        <v>69</v>
      </c>
      <c r="E12" s="250" t="s">
        <v>70</v>
      </c>
      <c r="F12" s="250" t="s">
        <v>71</v>
      </c>
      <c r="G12" s="250" t="s">
        <v>78</v>
      </c>
      <c r="H12" s="250" t="s">
        <v>79</v>
      </c>
      <c r="I12" s="250" t="s">
        <v>36</v>
      </c>
      <c r="J12" s="261" t="s">
        <v>80</v>
      </c>
      <c r="K12" s="254" t="s">
        <v>81</v>
      </c>
      <c r="L12" s="261" t="s">
        <v>75</v>
      </c>
      <c r="M12" s="253" t="s">
        <v>82</v>
      </c>
      <c r="N12" s="258" t="s">
        <v>83</v>
      </c>
      <c r="O12" s="147" t="e">
        <v>#N/A</v>
      </c>
    </row>
    <row r="13" spans="1:15" ht="32.15" customHeight="1">
      <c r="B13" s="139">
        <v>210</v>
      </c>
      <c r="C13" s="389" t="s">
        <v>68</v>
      </c>
      <c r="D13" s="104" t="s">
        <v>69</v>
      </c>
      <c r="E13" s="104" t="s">
        <v>70</v>
      </c>
      <c r="F13" s="104" t="s">
        <v>84</v>
      </c>
      <c r="G13" s="104" t="s">
        <v>7</v>
      </c>
      <c r="H13" s="104" t="s">
        <v>85</v>
      </c>
      <c r="I13" s="104" t="s">
        <v>53</v>
      </c>
      <c r="J13" s="265" t="s">
        <v>86</v>
      </c>
      <c r="K13" s="203" t="s">
        <v>87</v>
      </c>
      <c r="L13" s="265" t="s">
        <v>88</v>
      </c>
      <c r="M13" s="206" t="s">
        <v>89</v>
      </c>
      <c r="N13" s="123" t="s">
        <v>58</v>
      </c>
      <c r="O13" s="147" t="e">
        <v>#N/A</v>
      </c>
    </row>
    <row r="14" spans="1:15" ht="32.15" customHeight="1">
      <c r="B14" s="139">
        <v>211</v>
      </c>
      <c r="C14" s="389" t="s">
        <v>68</v>
      </c>
      <c r="D14" s="104" t="s">
        <v>69</v>
      </c>
      <c r="E14" s="104" t="s">
        <v>70</v>
      </c>
      <c r="F14" s="104" t="s">
        <v>90</v>
      </c>
      <c r="G14" s="104" t="s">
        <v>7</v>
      </c>
      <c r="H14" s="104" t="s">
        <v>91</v>
      </c>
      <c r="I14" s="104" t="s">
        <v>53</v>
      </c>
      <c r="J14" s="265" t="s">
        <v>92</v>
      </c>
      <c r="K14" s="203" t="s">
        <v>93</v>
      </c>
      <c r="L14" s="265" t="s">
        <v>94</v>
      </c>
      <c r="M14" s="206" t="s">
        <v>95</v>
      </c>
      <c r="N14" s="123" t="s">
        <v>96</v>
      </c>
      <c r="O14" s="147" t="e">
        <v>#N/A</v>
      </c>
    </row>
    <row r="15" spans="1:15" ht="32.15" customHeight="1">
      <c r="B15" s="139">
        <v>213</v>
      </c>
      <c r="C15" s="190" t="s">
        <v>68</v>
      </c>
      <c r="D15" s="135" t="s">
        <v>69</v>
      </c>
      <c r="E15" s="135" t="s">
        <v>70</v>
      </c>
      <c r="F15" s="135" t="s">
        <v>71</v>
      </c>
      <c r="G15" s="135" t="s">
        <v>97</v>
      </c>
      <c r="H15" s="135" t="s">
        <v>79</v>
      </c>
      <c r="I15" s="135" t="s">
        <v>36</v>
      </c>
      <c r="J15" s="268" t="s">
        <v>80</v>
      </c>
      <c r="K15" s="205" t="s">
        <v>81</v>
      </c>
      <c r="L15" s="268" t="s">
        <v>75</v>
      </c>
      <c r="M15" s="100" t="s">
        <v>98</v>
      </c>
      <c r="N15" s="418" t="s">
        <v>99</v>
      </c>
      <c r="O15" s="147" t="e">
        <v>#N/A</v>
      </c>
    </row>
    <row r="16" spans="1:15" ht="32.15" customHeight="1">
      <c r="B16" s="139">
        <v>214</v>
      </c>
      <c r="C16" s="190" t="s">
        <v>68</v>
      </c>
      <c r="D16" s="135" t="s">
        <v>69</v>
      </c>
      <c r="E16" s="135">
        <v>89000</v>
      </c>
      <c r="F16" s="135" t="s">
        <v>100</v>
      </c>
      <c r="G16" s="135" t="s">
        <v>101</v>
      </c>
      <c r="H16" s="135" t="s">
        <v>102</v>
      </c>
      <c r="I16" s="135" t="s">
        <v>36</v>
      </c>
      <c r="J16" s="270" t="s">
        <v>80</v>
      </c>
      <c r="K16" s="186" t="s">
        <v>81</v>
      </c>
      <c r="L16" s="270" t="s">
        <v>75</v>
      </c>
      <c r="M16" s="186" t="s">
        <v>103</v>
      </c>
      <c r="N16" s="191" t="s">
        <v>104</v>
      </c>
      <c r="O16" s="147" t="e">
        <v>#N/A</v>
      </c>
    </row>
    <row r="17" spans="2:15" ht="29">
      <c r="B17" s="139">
        <v>215</v>
      </c>
      <c r="C17" s="333" t="s">
        <v>68</v>
      </c>
      <c r="D17" s="119" t="s">
        <v>69</v>
      </c>
      <c r="E17" s="119" t="s">
        <v>70</v>
      </c>
      <c r="F17" s="119" t="s">
        <v>105</v>
      </c>
      <c r="G17" s="121" t="s">
        <v>60</v>
      </c>
      <c r="H17" s="119" t="s">
        <v>85</v>
      </c>
      <c r="I17" s="119" t="s">
        <v>53</v>
      </c>
      <c r="J17" s="276" t="s">
        <v>86</v>
      </c>
      <c r="K17" s="178" t="s">
        <v>87</v>
      </c>
      <c r="L17" s="276" t="s">
        <v>88</v>
      </c>
      <c r="M17" s="215" t="s">
        <v>56</v>
      </c>
      <c r="N17" s="231" t="s">
        <v>106</v>
      </c>
      <c r="O17" s="147" t="e">
        <v>#N/A</v>
      </c>
    </row>
    <row r="18" spans="2:15" ht="87">
      <c r="B18" s="139">
        <v>216</v>
      </c>
      <c r="C18" s="333" t="s">
        <v>68</v>
      </c>
      <c r="D18" s="119" t="s">
        <v>69</v>
      </c>
      <c r="E18" s="119">
        <v>89000</v>
      </c>
      <c r="F18" s="119" t="s">
        <v>90</v>
      </c>
      <c r="G18" s="121" t="s">
        <v>60</v>
      </c>
      <c r="H18" s="119" t="s">
        <v>91</v>
      </c>
      <c r="I18" s="119" t="s">
        <v>53</v>
      </c>
      <c r="J18" s="277" t="s">
        <v>92</v>
      </c>
      <c r="K18" s="119" t="s">
        <v>107</v>
      </c>
      <c r="L18" s="277" t="s">
        <v>94</v>
      </c>
      <c r="M18" s="216" t="s">
        <v>56</v>
      </c>
      <c r="N18" s="455" t="s">
        <v>108</v>
      </c>
      <c r="O18" s="147" t="e">
        <v>#N/A</v>
      </c>
    </row>
    <row r="19" spans="2:15" ht="43.5">
      <c r="B19" s="139">
        <v>217</v>
      </c>
      <c r="C19" s="189" t="s">
        <v>68</v>
      </c>
      <c r="D19" s="93" t="s">
        <v>69</v>
      </c>
      <c r="E19" s="93" t="s">
        <v>70</v>
      </c>
      <c r="F19" s="93" t="s">
        <v>109</v>
      </c>
      <c r="G19" s="93" t="s">
        <v>9</v>
      </c>
      <c r="H19" s="93" t="s">
        <v>85</v>
      </c>
      <c r="I19" s="93" t="s">
        <v>53</v>
      </c>
      <c r="J19" s="279" t="s">
        <v>86</v>
      </c>
      <c r="K19" s="93" t="s">
        <v>87</v>
      </c>
      <c r="L19" s="279" t="s">
        <v>88</v>
      </c>
      <c r="M19" s="216" t="s">
        <v>56</v>
      </c>
      <c r="N19" s="587" t="s">
        <v>110</v>
      </c>
      <c r="O19" s="147" t="e">
        <v>#N/A</v>
      </c>
    </row>
    <row r="20" spans="2:15" ht="43.5">
      <c r="B20" s="139">
        <v>218</v>
      </c>
      <c r="C20" s="189" t="s">
        <v>68</v>
      </c>
      <c r="D20" s="93" t="s">
        <v>69</v>
      </c>
      <c r="E20" s="93">
        <v>89000</v>
      </c>
      <c r="F20" s="93" t="s">
        <v>90</v>
      </c>
      <c r="G20" s="93" t="s">
        <v>9</v>
      </c>
      <c r="H20" s="93" t="s">
        <v>91</v>
      </c>
      <c r="I20" s="93" t="s">
        <v>53</v>
      </c>
      <c r="J20" s="279" t="s">
        <v>92</v>
      </c>
      <c r="K20" s="93" t="s">
        <v>111</v>
      </c>
      <c r="L20" s="279" t="s">
        <v>94</v>
      </c>
      <c r="M20" s="216" t="s">
        <v>56</v>
      </c>
      <c r="N20" s="232" t="s">
        <v>112</v>
      </c>
      <c r="O20" s="147" t="e">
        <v>#N/A</v>
      </c>
    </row>
    <row r="21" spans="2:15" ht="29">
      <c r="B21" s="139">
        <v>219</v>
      </c>
      <c r="C21" s="478" t="s">
        <v>68</v>
      </c>
      <c r="D21" s="118" t="s">
        <v>69</v>
      </c>
      <c r="E21" s="118">
        <v>89000</v>
      </c>
      <c r="F21" s="118" t="s">
        <v>90</v>
      </c>
      <c r="G21" s="117" t="s">
        <v>113</v>
      </c>
      <c r="H21" s="118" t="s">
        <v>91</v>
      </c>
      <c r="I21" s="118" t="s">
        <v>53</v>
      </c>
      <c r="J21" s="287" t="s">
        <v>92</v>
      </c>
      <c r="K21" s="118" t="s">
        <v>111</v>
      </c>
      <c r="L21" s="287" t="s">
        <v>94</v>
      </c>
      <c r="M21" s="216" t="s">
        <v>56</v>
      </c>
      <c r="N21" s="496" t="s">
        <v>114</v>
      </c>
      <c r="O21" s="147" t="e">
        <v>#N/A</v>
      </c>
    </row>
    <row r="22" spans="2:15" ht="29">
      <c r="B22" s="139">
        <v>220</v>
      </c>
      <c r="C22" s="477" t="s">
        <v>68</v>
      </c>
      <c r="D22" s="182" t="s">
        <v>69</v>
      </c>
      <c r="E22" s="182">
        <v>89000</v>
      </c>
      <c r="F22" s="182" t="s">
        <v>90</v>
      </c>
      <c r="G22" s="183" t="s">
        <v>11</v>
      </c>
      <c r="H22" s="182" t="s">
        <v>91</v>
      </c>
      <c r="I22" s="182" t="s">
        <v>53</v>
      </c>
      <c r="J22" s="294" t="s">
        <v>92</v>
      </c>
      <c r="K22" s="182" t="s">
        <v>115</v>
      </c>
      <c r="L22" s="294" t="s">
        <v>94</v>
      </c>
      <c r="M22" s="182" t="s">
        <v>95</v>
      </c>
      <c r="N22" s="593" t="s">
        <v>116</v>
      </c>
      <c r="O22" s="147" t="e">
        <v>#N/A</v>
      </c>
    </row>
    <row r="23" spans="2:15" ht="29">
      <c r="B23" s="139">
        <v>221</v>
      </c>
      <c r="C23" s="505" t="s">
        <v>68</v>
      </c>
      <c r="D23" s="187" t="s">
        <v>69</v>
      </c>
      <c r="E23" s="187" t="s">
        <v>70</v>
      </c>
      <c r="F23" s="187" t="s">
        <v>117</v>
      </c>
      <c r="G23" s="187" t="s">
        <v>12</v>
      </c>
      <c r="H23" s="188" t="s">
        <v>85</v>
      </c>
      <c r="I23" s="187" t="s">
        <v>53</v>
      </c>
      <c r="J23" s="510" t="s">
        <v>86</v>
      </c>
      <c r="K23" s="187" t="s">
        <v>87</v>
      </c>
      <c r="L23" s="514" t="s">
        <v>88</v>
      </c>
      <c r="M23" s="216" t="s">
        <v>56</v>
      </c>
      <c r="N23" s="519" t="s">
        <v>118</v>
      </c>
      <c r="O23" s="147" t="e">
        <v>#N/A</v>
      </c>
    </row>
    <row r="24" spans="2:15" ht="29">
      <c r="B24" s="139">
        <v>1</v>
      </c>
      <c r="C24" s="422" t="s">
        <v>119</v>
      </c>
      <c r="D24" s="250" t="s">
        <v>120</v>
      </c>
      <c r="E24" s="250" t="s">
        <v>121</v>
      </c>
      <c r="F24" s="250" t="s">
        <v>122</v>
      </c>
      <c r="G24" s="250" t="s">
        <v>78</v>
      </c>
      <c r="H24" s="250" t="s">
        <v>123</v>
      </c>
      <c r="I24" s="250" t="s">
        <v>36</v>
      </c>
      <c r="J24" s="260" t="s">
        <v>124</v>
      </c>
      <c r="K24" s="252" t="s">
        <v>125</v>
      </c>
      <c r="L24" s="406" t="s">
        <v>75</v>
      </c>
      <c r="M24" s="251" t="s">
        <v>126</v>
      </c>
      <c r="N24" s="216" t="s">
        <v>41</v>
      </c>
      <c r="O24" s="147" t="e">
        <v>#N/A</v>
      </c>
    </row>
    <row r="25" spans="2:15" ht="29">
      <c r="B25" s="139">
        <v>2</v>
      </c>
      <c r="C25" s="190" t="s">
        <v>119</v>
      </c>
      <c r="D25" s="135" t="s">
        <v>120</v>
      </c>
      <c r="E25" s="135" t="s">
        <v>121</v>
      </c>
      <c r="F25" s="135" t="s">
        <v>122</v>
      </c>
      <c r="G25" s="135" t="s">
        <v>127</v>
      </c>
      <c r="H25" s="135" t="s">
        <v>123</v>
      </c>
      <c r="I25" s="135" t="s">
        <v>36</v>
      </c>
      <c r="J25" s="275" t="s">
        <v>124</v>
      </c>
      <c r="K25" s="135" t="s">
        <v>125</v>
      </c>
      <c r="L25" s="275" t="s">
        <v>75</v>
      </c>
      <c r="M25" s="135" t="s">
        <v>128</v>
      </c>
      <c r="N25" s="134" t="s">
        <v>41</v>
      </c>
      <c r="O25" s="147" t="e">
        <v>#N/A</v>
      </c>
    </row>
    <row r="26" spans="2:15" ht="29">
      <c r="B26" s="139">
        <v>222</v>
      </c>
      <c r="C26" s="467" t="s">
        <v>68</v>
      </c>
      <c r="D26" s="196" t="s">
        <v>129</v>
      </c>
      <c r="E26" s="196">
        <v>89200</v>
      </c>
      <c r="F26" s="196" t="s">
        <v>130</v>
      </c>
      <c r="G26" s="196" t="s">
        <v>101</v>
      </c>
      <c r="H26" s="196" t="s">
        <v>131</v>
      </c>
      <c r="I26" s="196" t="s">
        <v>36</v>
      </c>
      <c r="J26" s="272" t="s">
        <v>124</v>
      </c>
      <c r="K26" s="196" t="s">
        <v>125</v>
      </c>
      <c r="L26" s="272" t="s">
        <v>75</v>
      </c>
      <c r="M26" s="196" t="s">
        <v>132</v>
      </c>
      <c r="N26" s="216" t="s">
        <v>133</v>
      </c>
      <c r="O26" s="147" t="e">
        <v>#N/A</v>
      </c>
    </row>
    <row r="27" spans="2:15" ht="29">
      <c r="B27" s="139">
        <v>223</v>
      </c>
      <c r="C27" s="467" t="s">
        <v>68</v>
      </c>
      <c r="D27" s="196" t="s">
        <v>129</v>
      </c>
      <c r="E27" s="196">
        <v>89200</v>
      </c>
      <c r="F27" s="196" t="s">
        <v>134</v>
      </c>
      <c r="G27" s="196" t="s">
        <v>101</v>
      </c>
      <c r="H27" s="196" t="s">
        <v>135</v>
      </c>
      <c r="I27" s="196" t="s">
        <v>36</v>
      </c>
      <c r="J27" s="272" t="s">
        <v>124</v>
      </c>
      <c r="K27" s="196" t="s">
        <v>125</v>
      </c>
      <c r="L27" s="272" t="s">
        <v>75</v>
      </c>
      <c r="M27" s="196" t="s">
        <v>136</v>
      </c>
      <c r="N27" s="134" t="s">
        <v>133</v>
      </c>
      <c r="O27" s="147" t="e">
        <v>#N/A</v>
      </c>
    </row>
    <row r="28" spans="2:15" ht="29">
      <c r="B28" s="139">
        <v>261</v>
      </c>
      <c r="C28" s="190" t="s">
        <v>68</v>
      </c>
      <c r="D28" s="135" t="s">
        <v>129</v>
      </c>
      <c r="E28" s="135">
        <v>89200</v>
      </c>
      <c r="F28" s="135" t="s">
        <v>137</v>
      </c>
      <c r="G28" s="135" t="s">
        <v>34</v>
      </c>
      <c r="H28" s="135" t="s">
        <v>135</v>
      </c>
      <c r="I28" s="135" t="s">
        <v>36</v>
      </c>
      <c r="J28" s="84" t="s">
        <v>124</v>
      </c>
      <c r="K28" s="199" t="s">
        <v>125</v>
      </c>
      <c r="L28" s="269" t="s">
        <v>75</v>
      </c>
      <c r="M28" s="199" t="s">
        <v>138</v>
      </c>
      <c r="N28" s="516"/>
      <c r="O28" s="147"/>
    </row>
    <row r="29" spans="2:15" ht="29">
      <c r="B29" s="139">
        <v>262</v>
      </c>
      <c r="C29" s="468" t="s">
        <v>68</v>
      </c>
      <c r="D29" s="186" t="s">
        <v>129</v>
      </c>
      <c r="E29" s="186">
        <v>89200</v>
      </c>
      <c r="F29" s="186" t="s">
        <v>139</v>
      </c>
      <c r="G29" s="186" t="s">
        <v>101</v>
      </c>
      <c r="H29" s="186" t="s">
        <v>135</v>
      </c>
      <c r="I29" s="186" t="s">
        <v>36</v>
      </c>
      <c r="J29" s="97" t="s">
        <v>124</v>
      </c>
      <c r="K29" s="205" t="s">
        <v>125</v>
      </c>
      <c r="L29" s="269" t="s">
        <v>75</v>
      </c>
      <c r="M29" s="199" t="s">
        <v>140</v>
      </c>
      <c r="N29" s="516"/>
      <c r="O29" s="147"/>
    </row>
    <row r="30" spans="2:15" ht="29">
      <c r="B30" s="139">
        <v>263</v>
      </c>
      <c r="C30" s="190" t="s">
        <v>68</v>
      </c>
      <c r="D30" s="135" t="s">
        <v>129</v>
      </c>
      <c r="E30" s="135">
        <v>89200</v>
      </c>
      <c r="F30" s="135" t="s">
        <v>141</v>
      </c>
      <c r="G30" s="135" t="s">
        <v>101</v>
      </c>
      <c r="H30" s="135" t="s">
        <v>135</v>
      </c>
      <c r="I30" s="135" t="s">
        <v>36</v>
      </c>
      <c r="J30" s="84" t="s">
        <v>124</v>
      </c>
      <c r="K30" s="199" t="s">
        <v>125</v>
      </c>
      <c r="L30" s="269" t="s">
        <v>75</v>
      </c>
      <c r="M30" s="199" t="s">
        <v>142</v>
      </c>
      <c r="N30" s="516"/>
      <c r="O30" s="147"/>
    </row>
    <row r="31" spans="2:15" ht="43.5">
      <c r="B31" s="139">
        <v>264</v>
      </c>
      <c r="C31" s="190" t="s">
        <v>68</v>
      </c>
      <c r="D31" s="135" t="s">
        <v>129</v>
      </c>
      <c r="E31" s="135">
        <v>89200</v>
      </c>
      <c r="F31" s="135" t="s">
        <v>143</v>
      </c>
      <c r="G31" s="135" t="s">
        <v>101</v>
      </c>
      <c r="H31" s="135" t="s">
        <v>135</v>
      </c>
      <c r="I31" s="135" t="s">
        <v>36</v>
      </c>
      <c r="J31" s="84" t="s">
        <v>124</v>
      </c>
      <c r="K31" s="199" t="s">
        <v>125</v>
      </c>
      <c r="L31" s="269" t="s">
        <v>75</v>
      </c>
      <c r="M31" s="199" t="s">
        <v>144</v>
      </c>
      <c r="N31" s="516"/>
      <c r="O31" s="147"/>
    </row>
    <row r="32" spans="2:15" ht="29">
      <c r="B32" s="139">
        <v>46</v>
      </c>
      <c r="C32" s="190" t="s">
        <v>145</v>
      </c>
      <c r="D32" s="135" t="s">
        <v>146</v>
      </c>
      <c r="E32" s="135">
        <v>25110</v>
      </c>
      <c r="F32" s="135" t="s">
        <v>147</v>
      </c>
      <c r="G32" s="135" t="s">
        <v>101</v>
      </c>
      <c r="H32" s="135" t="s">
        <v>148</v>
      </c>
      <c r="I32" s="135" t="s">
        <v>36</v>
      </c>
      <c r="J32" s="525" t="s">
        <v>149</v>
      </c>
      <c r="K32" s="199" t="s">
        <v>150</v>
      </c>
      <c r="L32" s="269" t="s">
        <v>75</v>
      </c>
      <c r="M32" s="96" t="s">
        <v>151</v>
      </c>
      <c r="N32" s="220" t="s">
        <v>104</v>
      </c>
      <c r="O32" s="147" t="e">
        <v>#N/A</v>
      </c>
    </row>
    <row r="33" spans="2:15" ht="29">
      <c r="B33" s="139">
        <v>194</v>
      </c>
      <c r="C33" s="472" t="s">
        <v>152</v>
      </c>
      <c r="D33" s="119" t="s">
        <v>153</v>
      </c>
      <c r="E33" s="119" t="s">
        <v>154</v>
      </c>
      <c r="F33" s="179" t="s">
        <v>155</v>
      </c>
      <c r="G33" s="179" t="s">
        <v>60</v>
      </c>
      <c r="H33" s="119" t="s">
        <v>156</v>
      </c>
      <c r="I33" s="119" t="s">
        <v>36</v>
      </c>
      <c r="J33" s="276" t="s">
        <v>157</v>
      </c>
      <c r="K33" s="119" t="s">
        <v>158</v>
      </c>
      <c r="L33" s="277" t="s">
        <v>159</v>
      </c>
      <c r="M33" s="216" t="s">
        <v>56</v>
      </c>
      <c r="N33" s="231" t="s">
        <v>160</v>
      </c>
      <c r="O33" s="147" t="s">
        <v>161</v>
      </c>
    </row>
    <row r="34" spans="2:15" ht="43.5">
      <c r="B34" s="139">
        <v>195</v>
      </c>
      <c r="C34" s="189" t="s">
        <v>152</v>
      </c>
      <c r="D34" s="93" t="s">
        <v>153</v>
      </c>
      <c r="E34" s="93" t="s">
        <v>154</v>
      </c>
      <c r="F34" s="93" t="s">
        <v>162</v>
      </c>
      <c r="G34" s="93" t="s">
        <v>9</v>
      </c>
      <c r="H34" s="93" t="s">
        <v>156</v>
      </c>
      <c r="I34" s="93" t="s">
        <v>36</v>
      </c>
      <c r="J34" s="279" t="s">
        <v>157</v>
      </c>
      <c r="K34" s="93" t="s">
        <v>163</v>
      </c>
      <c r="L34" s="279" t="s">
        <v>159</v>
      </c>
      <c r="M34" s="216" t="s">
        <v>56</v>
      </c>
      <c r="N34" s="232" t="s">
        <v>164</v>
      </c>
      <c r="O34" s="147" t="s">
        <v>161</v>
      </c>
    </row>
    <row r="35" spans="2:15" ht="29">
      <c r="B35" s="139">
        <v>3</v>
      </c>
      <c r="C35" s="190" t="s">
        <v>119</v>
      </c>
      <c r="D35" s="135" t="s">
        <v>165</v>
      </c>
      <c r="E35" s="135">
        <v>21200</v>
      </c>
      <c r="F35" s="135" t="s">
        <v>166</v>
      </c>
      <c r="G35" s="135" t="s">
        <v>34</v>
      </c>
      <c r="H35" s="135" t="s">
        <v>123</v>
      </c>
      <c r="I35" s="135" t="s">
        <v>36</v>
      </c>
      <c r="J35" s="269" t="s">
        <v>167</v>
      </c>
      <c r="K35" s="199" t="s">
        <v>168</v>
      </c>
      <c r="L35" s="269" t="s">
        <v>75</v>
      </c>
      <c r="M35" s="96" t="s">
        <v>169</v>
      </c>
      <c r="N35" s="134" t="s">
        <v>41</v>
      </c>
      <c r="O35" s="147" t="e">
        <v>#N/A</v>
      </c>
    </row>
    <row r="36" spans="2:15" ht="29">
      <c r="B36" s="139">
        <v>4</v>
      </c>
      <c r="C36" s="190" t="s">
        <v>119</v>
      </c>
      <c r="D36" s="135" t="s">
        <v>165</v>
      </c>
      <c r="E36" s="135">
        <v>21200</v>
      </c>
      <c r="F36" s="135" t="s">
        <v>170</v>
      </c>
      <c r="G36" s="135" t="s">
        <v>34</v>
      </c>
      <c r="H36" s="135" t="s">
        <v>171</v>
      </c>
      <c r="I36" s="135" t="s">
        <v>36</v>
      </c>
      <c r="J36" s="269" t="s">
        <v>172</v>
      </c>
      <c r="K36" s="199" t="s">
        <v>173</v>
      </c>
      <c r="L36" s="61" t="s">
        <v>56</v>
      </c>
      <c r="M36" s="96" t="s">
        <v>174</v>
      </c>
      <c r="N36" s="134" t="s">
        <v>175</v>
      </c>
      <c r="O36" s="147" t="e">
        <v>#N/A</v>
      </c>
    </row>
    <row r="37" spans="2:15" ht="43.5">
      <c r="B37" s="139">
        <v>5</v>
      </c>
      <c r="C37" s="389" t="s">
        <v>119</v>
      </c>
      <c r="D37" s="104" t="s">
        <v>165</v>
      </c>
      <c r="E37" s="104" t="s">
        <v>176</v>
      </c>
      <c r="F37" s="104" t="s">
        <v>177</v>
      </c>
      <c r="G37" s="104" t="s">
        <v>7</v>
      </c>
      <c r="H37" s="104" t="s">
        <v>178</v>
      </c>
      <c r="I37" s="104" t="s">
        <v>53</v>
      </c>
      <c r="J37" s="264" t="s">
        <v>179</v>
      </c>
      <c r="K37" s="200" t="s">
        <v>180</v>
      </c>
      <c r="L37" s="264" t="s">
        <v>181</v>
      </c>
      <c r="M37" s="122" t="s">
        <v>182</v>
      </c>
      <c r="N37" s="123" t="s">
        <v>183</v>
      </c>
      <c r="O37" s="147" t="e">
        <v>#N/A</v>
      </c>
    </row>
    <row r="38" spans="2:15" ht="43.5">
      <c r="B38" s="139">
        <v>6</v>
      </c>
      <c r="C38" s="333" t="s">
        <v>119</v>
      </c>
      <c r="D38" s="119" t="s">
        <v>165</v>
      </c>
      <c r="E38" s="119" t="s">
        <v>176</v>
      </c>
      <c r="F38" s="121" t="s">
        <v>177</v>
      </c>
      <c r="G38" s="121" t="s">
        <v>60</v>
      </c>
      <c r="H38" s="119" t="s">
        <v>178</v>
      </c>
      <c r="I38" s="119" t="s">
        <v>53</v>
      </c>
      <c r="J38" s="277" t="s">
        <v>179</v>
      </c>
      <c r="K38" s="119" t="s">
        <v>180</v>
      </c>
      <c r="L38" s="277" t="s">
        <v>181</v>
      </c>
      <c r="M38" s="216" t="s">
        <v>175</v>
      </c>
      <c r="N38" s="231" t="s">
        <v>184</v>
      </c>
      <c r="O38" s="147" t="e">
        <v>#N/A</v>
      </c>
    </row>
    <row r="39" spans="2:15" ht="43.5">
      <c r="B39" s="139">
        <v>7</v>
      </c>
      <c r="C39" s="189" t="s">
        <v>119</v>
      </c>
      <c r="D39" s="93" t="s">
        <v>165</v>
      </c>
      <c r="E39" s="93" t="s">
        <v>176</v>
      </c>
      <c r="F39" s="93" t="s">
        <v>185</v>
      </c>
      <c r="G39" s="93" t="s">
        <v>9</v>
      </c>
      <c r="H39" s="93" t="s">
        <v>178</v>
      </c>
      <c r="I39" s="93" t="s">
        <v>53</v>
      </c>
      <c r="J39" s="279" t="s">
        <v>179</v>
      </c>
      <c r="K39" s="93" t="s">
        <v>180</v>
      </c>
      <c r="L39" s="279" t="s">
        <v>181</v>
      </c>
      <c r="M39" s="216" t="s">
        <v>41</v>
      </c>
      <c r="N39" s="232" t="s">
        <v>186</v>
      </c>
      <c r="O39" s="147" t="e">
        <v>#N/A</v>
      </c>
    </row>
    <row r="40" spans="2:15" ht="43.5">
      <c r="B40" s="139">
        <v>197</v>
      </c>
      <c r="C40" s="422" t="s">
        <v>152</v>
      </c>
      <c r="D40" s="250" t="s">
        <v>187</v>
      </c>
      <c r="E40" s="250">
        <v>90000</v>
      </c>
      <c r="F40" s="250" t="s">
        <v>188</v>
      </c>
      <c r="G40" s="250" t="s">
        <v>78</v>
      </c>
      <c r="H40" s="250" t="s">
        <v>189</v>
      </c>
      <c r="I40" s="250" t="s">
        <v>36</v>
      </c>
      <c r="J40" s="260" t="s">
        <v>190</v>
      </c>
      <c r="K40" s="252" t="s">
        <v>191</v>
      </c>
      <c r="L40" s="260" t="s">
        <v>192</v>
      </c>
      <c r="M40" s="251" t="s">
        <v>193</v>
      </c>
      <c r="N40" s="258" t="s">
        <v>194</v>
      </c>
      <c r="O40" s="147" t="s">
        <v>161</v>
      </c>
    </row>
    <row r="41" spans="2:15" ht="29">
      <c r="B41" s="139">
        <v>198</v>
      </c>
      <c r="C41" s="389" t="s">
        <v>152</v>
      </c>
      <c r="D41" s="104" t="s">
        <v>187</v>
      </c>
      <c r="E41" s="104">
        <v>90000</v>
      </c>
      <c r="F41" s="104" t="s">
        <v>195</v>
      </c>
      <c r="G41" s="104" t="s">
        <v>7</v>
      </c>
      <c r="H41" s="104" t="s">
        <v>156</v>
      </c>
      <c r="I41" s="104" t="s">
        <v>36</v>
      </c>
      <c r="J41" s="264" t="s">
        <v>157</v>
      </c>
      <c r="K41" s="200" t="s">
        <v>158</v>
      </c>
      <c r="L41" s="264" t="s">
        <v>159</v>
      </c>
      <c r="M41" s="122" t="s">
        <v>196</v>
      </c>
      <c r="N41" s="123" t="s">
        <v>197</v>
      </c>
      <c r="O41" s="147" t="s">
        <v>161</v>
      </c>
    </row>
    <row r="42" spans="2:15" ht="29">
      <c r="B42" s="139">
        <v>199</v>
      </c>
      <c r="C42" s="389" t="s">
        <v>152</v>
      </c>
      <c r="D42" s="104" t="s">
        <v>187</v>
      </c>
      <c r="E42" s="104">
        <v>90000</v>
      </c>
      <c r="F42" s="104" t="s">
        <v>198</v>
      </c>
      <c r="G42" s="104" t="s">
        <v>665</v>
      </c>
      <c r="H42" s="104" t="s">
        <v>199</v>
      </c>
      <c r="I42" s="104" t="s">
        <v>36</v>
      </c>
      <c r="J42" s="264" t="s">
        <v>157</v>
      </c>
      <c r="K42" s="200" t="s">
        <v>200</v>
      </c>
      <c r="L42" s="264" t="s">
        <v>159</v>
      </c>
      <c r="M42" s="122" t="s">
        <v>201</v>
      </c>
      <c r="N42" s="123" t="s">
        <v>96</v>
      </c>
      <c r="O42" s="147" t="s">
        <v>161</v>
      </c>
    </row>
    <row r="43" spans="2:15" ht="29">
      <c r="B43" s="139">
        <v>200</v>
      </c>
      <c r="C43" s="471" t="s">
        <v>152</v>
      </c>
      <c r="D43" s="181" t="s">
        <v>187</v>
      </c>
      <c r="E43" s="181">
        <v>90000</v>
      </c>
      <c r="F43" s="104" t="s">
        <v>202</v>
      </c>
      <c r="G43" s="104" t="s">
        <v>665</v>
      </c>
      <c r="H43" s="181" t="s">
        <v>203</v>
      </c>
      <c r="I43" s="104" t="s">
        <v>53</v>
      </c>
      <c r="J43" s="130" t="s">
        <v>204</v>
      </c>
      <c r="K43" s="203" t="s">
        <v>205</v>
      </c>
      <c r="L43" s="265" t="s">
        <v>206</v>
      </c>
      <c r="M43" s="206" t="s">
        <v>207</v>
      </c>
      <c r="N43" s="122" t="s">
        <v>208</v>
      </c>
      <c r="O43" s="147" t="s">
        <v>161</v>
      </c>
    </row>
    <row r="44" spans="2:15" ht="72.5">
      <c r="B44" s="139">
        <v>201</v>
      </c>
      <c r="C44" s="469" t="s">
        <v>152</v>
      </c>
      <c r="D44" s="135" t="s">
        <v>187</v>
      </c>
      <c r="E44" s="135" t="s">
        <v>209</v>
      </c>
      <c r="F44" s="135" t="s">
        <v>210</v>
      </c>
      <c r="G44" s="135" t="s">
        <v>97</v>
      </c>
      <c r="H44" s="135" t="s">
        <v>211</v>
      </c>
      <c r="I44" s="135" t="s">
        <v>36</v>
      </c>
      <c r="J44" s="269" t="s">
        <v>212</v>
      </c>
      <c r="K44" s="199" t="s">
        <v>213</v>
      </c>
      <c r="L44" s="269" t="s">
        <v>214</v>
      </c>
      <c r="M44" s="96" t="s">
        <v>215</v>
      </c>
      <c r="N44" s="243" t="s">
        <v>216</v>
      </c>
      <c r="O44" s="147" t="s">
        <v>161</v>
      </c>
    </row>
    <row r="45" spans="2:15" ht="58">
      <c r="B45" s="139">
        <v>203</v>
      </c>
      <c r="C45" s="563" t="s">
        <v>152</v>
      </c>
      <c r="D45" s="566" t="s">
        <v>217</v>
      </c>
      <c r="E45" s="566">
        <v>90000</v>
      </c>
      <c r="F45" s="360" t="s">
        <v>218</v>
      </c>
      <c r="G45" s="171" t="s">
        <v>5</v>
      </c>
      <c r="H45" s="569" t="s">
        <v>219</v>
      </c>
      <c r="I45" s="171" t="s">
        <v>36</v>
      </c>
      <c r="J45" s="571" t="s">
        <v>220</v>
      </c>
      <c r="K45" s="577" t="s">
        <v>221</v>
      </c>
      <c r="L45" s="583" t="s">
        <v>192</v>
      </c>
      <c r="M45" s="172" t="s">
        <v>222</v>
      </c>
      <c r="N45" s="233" t="s">
        <v>223</v>
      </c>
      <c r="O45" s="147" t="e">
        <v>#N/A</v>
      </c>
    </row>
    <row r="46" spans="2:15" ht="72.5">
      <c r="B46" s="139">
        <v>47</v>
      </c>
      <c r="C46" s="333" t="s">
        <v>145</v>
      </c>
      <c r="D46" s="119" t="s">
        <v>224</v>
      </c>
      <c r="E46" s="119" t="s">
        <v>225</v>
      </c>
      <c r="F46" s="119" t="s">
        <v>226</v>
      </c>
      <c r="G46" s="121" t="s">
        <v>60</v>
      </c>
      <c r="H46" s="119" t="s">
        <v>227</v>
      </c>
      <c r="I46" s="119" t="s">
        <v>53</v>
      </c>
      <c r="J46" s="277" t="s">
        <v>228</v>
      </c>
      <c r="K46" s="119" t="s">
        <v>229</v>
      </c>
      <c r="L46" s="277" t="s">
        <v>230</v>
      </c>
      <c r="M46" s="216" t="s">
        <v>41</v>
      </c>
      <c r="N46" s="231" t="s">
        <v>231</v>
      </c>
      <c r="O46" s="147" t="e">
        <v>#N/A</v>
      </c>
    </row>
    <row r="47" spans="2:15" ht="58">
      <c r="B47" s="139">
        <v>48</v>
      </c>
      <c r="C47" s="561" t="s">
        <v>145</v>
      </c>
      <c r="D47" s="330" t="s">
        <v>232</v>
      </c>
      <c r="E47" s="330" t="s">
        <v>225</v>
      </c>
      <c r="F47" s="171" t="s">
        <v>233</v>
      </c>
      <c r="G47" s="330" t="s">
        <v>5</v>
      </c>
      <c r="H47" s="330" t="s">
        <v>234</v>
      </c>
      <c r="I47" s="330" t="s">
        <v>36</v>
      </c>
      <c r="J47" s="298" t="s">
        <v>235</v>
      </c>
      <c r="K47" s="210" t="s">
        <v>236</v>
      </c>
      <c r="L47" s="103" t="s">
        <v>237</v>
      </c>
      <c r="M47" s="172" t="s">
        <v>238</v>
      </c>
      <c r="N47" s="233" t="s">
        <v>239</v>
      </c>
      <c r="O47" s="147" t="e">
        <v>#N/A</v>
      </c>
    </row>
    <row r="48" spans="2:15" ht="58">
      <c r="B48" s="139">
        <v>49</v>
      </c>
      <c r="C48" s="422" t="s">
        <v>145</v>
      </c>
      <c r="D48" s="250" t="s">
        <v>232</v>
      </c>
      <c r="E48" s="250">
        <v>25000</v>
      </c>
      <c r="F48" s="250" t="s">
        <v>240</v>
      </c>
      <c r="G48" s="250" t="s">
        <v>78</v>
      </c>
      <c r="H48" s="250" t="s">
        <v>241</v>
      </c>
      <c r="I48" s="250" t="s">
        <v>36</v>
      </c>
      <c r="J48" s="260" t="s">
        <v>149</v>
      </c>
      <c r="K48" s="252" t="s">
        <v>242</v>
      </c>
      <c r="L48" s="260" t="s">
        <v>75</v>
      </c>
      <c r="M48" s="251" t="s">
        <v>243</v>
      </c>
      <c r="N48" s="258" t="s">
        <v>244</v>
      </c>
      <c r="O48" s="147" t="e">
        <v>#N/A</v>
      </c>
    </row>
    <row r="49" spans="2:15" ht="87">
      <c r="B49" s="139">
        <v>50</v>
      </c>
      <c r="C49" s="422" t="s">
        <v>145</v>
      </c>
      <c r="D49" s="250" t="s">
        <v>232</v>
      </c>
      <c r="E49" s="250" t="s">
        <v>225</v>
      </c>
      <c r="F49" s="250" t="s">
        <v>245</v>
      </c>
      <c r="G49" s="250" t="s">
        <v>78</v>
      </c>
      <c r="H49" s="250" t="s">
        <v>246</v>
      </c>
      <c r="I49" s="250" t="s">
        <v>36</v>
      </c>
      <c r="J49" s="260" t="s">
        <v>247</v>
      </c>
      <c r="K49" s="252" t="s">
        <v>248</v>
      </c>
      <c r="L49" s="262" t="s">
        <v>56</v>
      </c>
      <c r="M49" s="251" t="s">
        <v>249</v>
      </c>
      <c r="N49" s="256" t="s">
        <v>250</v>
      </c>
      <c r="O49" s="147" t="e">
        <v>#N/A</v>
      </c>
    </row>
    <row r="50" spans="2:15" ht="29">
      <c r="B50" s="139">
        <v>51</v>
      </c>
      <c r="C50" s="389" t="s">
        <v>145</v>
      </c>
      <c r="D50" s="104" t="s">
        <v>232</v>
      </c>
      <c r="E50" s="104" t="s">
        <v>225</v>
      </c>
      <c r="F50" s="122" t="s">
        <v>251</v>
      </c>
      <c r="G50" s="104" t="s">
        <v>7</v>
      </c>
      <c r="H50" s="122" t="s">
        <v>252</v>
      </c>
      <c r="I50" s="122" t="s">
        <v>253</v>
      </c>
      <c r="J50" s="264" t="s">
        <v>228</v>
      </c>
      <c r="K50" s="122" t="s">
        <v>254</v>
      </c>
      <c r="L50" s="262"/>
      <c r="M50" s="216"/>
      <c r="N50" s="122" t="s">
        <v>255</v>
      </c>
      <c r="O50" s="147" t="e">
        <v>#N/A</v>
      </c>
    </row>
    <row r="51" spans="2:15">
      <c r="B51" s="139">
        <v>52</v>
      </c>
      <c r="C51" s="190" t="s">
        <v>145</v>
      </c>
      <c r="D51" s="135" t="s">
        <v>232</v>
      </c>
      <c r="E51" s="135" t="s">
        <v>225</v>
      </c>
      <c r="F51" s="135" t="s">
        <v>256</v>
      </c>
      <c r="G51" s="135" t="s">
        <v>101</v>
      </c>
      <c r="H51" s="96" t="s">
        <v>257</v>
      </c>
      <c r="I51" s="96" t="s">
        <v>258</v>
      </c>
      <c r="J51" s="269" t="s">
        <v>259</v>
      </c>
      <c r="K51" s="271" t="s">
        <v>260</v>
      </c>
      <c r="L51" s="269" t="s">
        <v>261</v>
      </c>
      <c r="M51" s="96" t="s">
        <v>262</v>
      </c>
      <c r="N51" s="407" t="s">
        <v>56</v>
      </c>
      <c r="O51" s="147" t="e">
        <v>#N/A</v>
      </c>
    </row>
    <row r="52" spans="2:15" ht="29">
      <c r="B52" s="139">
        <v>53</v>
      </c>
      <c r="C52" s="190" t="s">
        <v>145</v>
      </c>
      <c r="D52" s="135" t="s">
        <v>232</v>
      </c>
      <c r="E52" s="135" t="s">
        <v>225</v>
      </c>
      <c r="F52" s="135" t="s">
        <v>263</v>
      </c>
      <c r="G52" s="135" t="s">
        <v>97</v>
      </c>
      <c r="H52" s="135" t="s">
        <v>241</v>
      </c>
      <c r="I52" s="135" t="s">
        <v>36</v>
      </c>
      <c r="J52" s="268" t="s">
        <v>149</v>
      </c>
      <c r="K52" s="199" t="s">
        <v>242</v>
      </c>
      <c r="L52" s="269" t="s">
        <v>75</v>
      </c>
      <c r="M52" s="96" t="s">
        <v>264</v>
      </c>
      <c r="N52" s="243" t="s">
        <v>265</v>
      </c>
      <c r="O52" s="147" t="e">
        <v>#N/A</v>
      </c>
    </row>
    <row r="53" spans="2:15" ht="101.5">
      <c r="B53" s="139">
        <v>54</v>
      </c>
      <c r="C53" s="190" t="s">
        <v>145</v>
      </c>
      <c r="D53" s="135" t="s">
        <v>232</v>
      </c>
      <c r="E53" s="135" t="s">
        <v>225</v>
      </c>
      <c r="F53" s="135" t="s">
        <v>266</v>
      </c>
      <c r="G53" s="135" t="s">
        <v>97</v>
      </c>
      <c r="H53" s="135" t="s">
        <v>267</v>
      </c>
      <c r="I53" s="135" t="s">
        <v>36</v>
      </c>
      <c r="J53" s="269" t="s">
        <v>259</v>
      </c>
      <c r="K53" s="199" t="s">
        <v>268</v>
      </c>
      <c r="L53" s="272" t="s">
        <v>269</v>
      </c>
      <c r="M53" s="96" t="s">
        <v>270</v>
      </c>
      <c r="N53" s="243" t="s">
        <v>271</v>
      </c>
      <c r="O53" s="147" t="e">
        <v>#N/A</v>
      </c>
    </row>
    <row r="54" spans="2:15" ht="29">
      <c r="B54" s="139">
        <v>55</v>
      </c>
      <c r="C54" s="190" t="s">
        <v>145</v>
      </c>
      <c r="D54" s="135" t="s">
        <v>232</v>
      </c>
      <c r="E54" s="135">
        <v>25000</v>
      </c>
      <c r="F54" s="135" t="s">
        <v>272</v>
      </c>
      <c r="G54" s="135" t="s">
        <v>101</v>
      </c>
      <c r="H54" s="135" t="s">
        <v>148</v>
      </c>
      <c r="I54" s="135" t="s">
        <v>36</v>
      </c>
      <c r="J54" s="269" t="s">
        <v>149</v>
      </c>
      <c r="K54" s="199" t="s">
        <v>273</v>
      </c>
      <c r="L54" s="269" t="s">
        <v>75</v>
      </c>
      <c r="M54" s="96" t="s">
        <v>274</v>
      </c>
      <c r="N54" s="220" t="s">
        <v>104</v>
      </c>
      <c r="O54" s="147" t="e">
        <v>#N/A</v>
      </c>
    </row>
    <row r="55" spans="2:15" ht="29">
      <c r="B55" s="139">
        <v>56</v>
      </c>
      <c r="C55" s="190" t="s">
        <v>145</v>
      </c>
      <c r="D55" s="135" t="s">
        <v>232</v>
      </c>
      <c r="E55" s="135">
        <v>25000</v>
      </c>
      <c r="F55" s="135" t="s">
        <v>275</v>
      </c>
      <c r="G55" s="135" t="s">
        <v>101</v>
      </c>
      <c r="H55" s="135" t="s">
        <v>148</v>
      </c>
      <c r="I55" s="135" t="s">
        <v>36</v>
      </c>
      <c r="J55" s="269" t="s">
        <v>149</v>
      </c>
      <c r="K55" s="199" t="s">
        <v>276</v>
      </c>
      <c r="L55" s="269" t="s">
        <v>75</v>
      </c>
      <c r="M55" s="96" t="s">
        <v>277</v>
      </c>
      <c r="N55" s="220" t="s">
        <v>104</v>
      </c>
      <c r="O55" s="147" t="e">
        <v>#N/A</v>
      </c>
    </row>
    <row r="56" spans="2:15" ht="29">
      <c r="B56" s="139">
        <v>57</v>
      </c>
      <c r="C56" s="190" t="s">
        <v>145</v>
      </c>
      <c r="D56" s="135" t="s">
        <v>232</v>
      </c>
      <c r="E56" s="135">
        <v>25000</v>
      </c>
      <c r="F56" s="135" t="s">
        <v>278</v>
      </c>
      <c r="G56" s="135" t="s">
        <v>101</v>
      </c>
      <c r="H56" s="135" t="s">
        <v>148</v>
      </c>
      <c r="I56" s="135" t="s">
        <v>36</v>
      </c>
      <c r="J56" s="272" t="s">
        <v>149</v>
      </c>
      <c r="K56" s="135" t="s">
        <v>279</v>
      </c>
      <c r="L56" s="272" t="s">
        <v>75</v>
      </c>
      <c r="M56" s="135" t="s">
        <v>280</v>
      </c>
      <c r="N56" s="135" t="s">
        <v>104</v>
      </c>
      <c r="O56" s="147" t="e">
        <v>#N/A</v>
      </c>
    </row>
    <row r="57" spans="2:15" ht="29">
      <c r="B57" s="139">
        <v>58</v>
      </c>
      <c r="C57" s="190" t="s">
        <v>145</v>
      </c>
      <c r="D57" s="135" t="s">
        <v>232</v>
      </c>
      <c r="E57" s="135">
        <v>25000</v>
      </c>
      <c r="F57" s="135" t="s">
        <v>281</v>
      </c>
      <c r="G57" s="135" t="s">
        <v>101</v>
      </c>
      <c r="H57" s="135" t="s">
        <v>267</v>
      </c>
      <c r="I57" s="83" t="s">
        <v>36</v>
      </c>
      <c r="J57" s="270" t="s">
        <v>149</v>
      </c>
      <c r="K57" s="85" t="s">
        <v>282</v>
      </c>
      <c r="L57" s="270" t="s">
        <v>75</v>
      </c>
      <c r="M57" s="83" t="s">
        <v>283</v>
      </c>
      <c r="N57" s="135" t="s">
        <v>104</v>
      </c>
      <c r="O57" s="161" t="e">
        <v>#N/A</v>
      </c>
    </row>
    <row r="58" spans="2:15" ht="29">
      <c r="B58" s="139">
        <v>59</v>
      </c>
      <c r="C58" s="190" t="s">
        <v>145</v>
      </c>
      <c r="D58" s="135" t="s">
        <v>232</v>
      </c>
      <c r="E58" s="135">
        <v>25000</v>
      </c>
      <c r="F58" s="135" t="s">
        <v>284</v>
      </c>
      <c r="G58" s="135" t="s">
        <v>101</v>
      </c>
      <c r="H58" s="135" t="s">
        <v>148</v>
      </c>
      <c r="I58" s="135" t="s">
        <v>36</v>
      </c>
      <c r="J58" s="272" t="s">
        <v>149</v>
      </c>
      <c r="K58" s="135" t="s">
        <v>285</v>
      </c>
      <c r="L58" s="272" t="s">
        <v>75</v>
      </c>
      <c r="M58" s="135" t="s">
        <v>286</v>
      </c>
      <c r="N58" s="135" t="s">
        <v>104</v>
      </c>
      <c r="O58" s="147" t="e">
        <v>#N/A</v>
      </c>
    </row>
    <row r="59" spans="2:15" ht="232">
      <c r="B59" s="139">
        <v>61</v>
      </c>
      <c r="C59" s="477" t="s">
        <v>145</v>
      </c>
      <c r="D59" s="182" t="s">
        <v>232</v>
      </c>
      <c r="E59" s="182">
        <v>25000</v>
      </c>
      <c r="F59" s="182" t="s">
        <v>287</v>
      </c>
      <c r="G59" s="182" t="s">
        <v>11</v>
      </c>
      <c r="H59" s="182" t="s">
        <v>288</v>
      </c>
      <c r="I59" s="182" t="s">
        <v>53</v>
      </c>
      <c r="J59" s="294" t="s">
        <v>289</v>
      </c>
      <c r="K59" s="182" t="s">
        <v>290</v>
      </c>
      <c r="L59" s="294" t="s">
        <v>291</v>
      </c>
      <c r="M59" s="182" t="s">
        <v>292</v>
      </c>
      <c r="N59" s="499" t="s">
        <v>293</v>
      </c>
      <c r="O59" s="147" t="e">
        <v>#N/A</v>
      </c>
    </row>
    <row r="60" spans="2:15" ht="65.5" customHeight="1">
      <c r="B60" s="139">
        <v>244</v>
      </c>
      <c r="C60" s="190" t="s">
        <v>145</v>
      </c>
      <c r="D60" s="135" t="s">
        <v>232</v>
      </c>
      <c r="E60" s="135" t="s">
        <v>225</v>
      </c>
      <c r="F60" s="135" t="s">
        <v>245</v>
      </c>
      <c r="G60" s="135" t="s">
        <v>294</v>
      </c>
      <c r="H60" s="135" t="s">
        <v>246</v>
      </c>
      <c r="I60" s="135" t="s">
        <v>36</v>
      </c>
      <c r="J60" s="272" t="s">
        <v>295</v>
      </c>
      <c r="K60" s="204" t="s">
        <v>248</v>
      </c>
      <c r="L60" s="216"/>
      <c r="M60" s="135" t="s">
        <v>296</v>
      </c>
      <c r="N60" s="497" t="s">
        <v>297</v>
      </c>
      <c r="O60" s="147"/>
    </row>
    <row r="61" spans="2:15" ht="43.5">
      <c r="B61" s="139">
        <v>117</v>
      </c>
      <c r="C61" s="189" t="s">
        <v>31</v>
      </c>
      <c r="D61" s="93" t="s">
        <v>298</v>
      </c>
      <c r="E61" s="93" t="s">
        <v>299</v>
      </c>
      <c r="F61" s="93" t="s">
        <v>300</v>
      </c>
      <c r="G61" s="93" t="s">
        <v>9</v>
      </c>
      <c r="H61" s="93" t="s">
        <v>301</v>
      </c>
      <c r="I61" s="93" t="s">
        <v>36</v>
      </c>
      <c r="J61" s="279" t="s">
        <v>302</v>
      </c>
      <c r="K61" s="93" t="s">
        <v>303</v>
      </c>
      <c r="L61" s="279" t="s">
        <v>304</v>
      </c>
      <c r="M61" s="216" t="s">
        <v>41</v>
      </c>
      <c r="N61" s="247" t="s">
        <v>305</v>
      </c>
      <c r="O61" s="147" t="e">
        <v>#N/A</v>
      </c>
    </row>
    <row r="62" spans="2:15" ht="74.150000000000006" customHeight="1">
      <c r="B62" s="139">
        <v>118</v>
      </c>
      <c r="C62" s="464" t="s">
        <v>31</v>
      </c>
      <c r="D62" s="120" t="s">
        <v>298</v>
      </c>
      <c r="E62" s="120" t="s">
        <v>299</v>
      </c>
      <c r="F62" s="120" t="s">
        <v>300</v>
      </c>
      <c r="G62" s="95" t="s">
        <v>306</v>
      </c>
      <c r="H62" s="120" t="s">
        <v>301</v>
      </c>
      <c r="I62" s="120" t="s">
        <v>36</v>
      </c>
      <c r="J62" s="487" t="s">
        <v>302</v>
      </c>
      <c r="K62" s="120" t="s">
        <v>303</v>
      </c>
      <c r="L62" s="284" t="s">
        <v>304</v>
      </c>
      <c r="M62" s="216" t="s">
        <v>41</v>
      </c>
      <c r="N62" s="598" t="s">
        <v>307</v>
      </c>
      <c r="O62" s="147" t="e">
        <v>#N/A</v>
      </c>
    </row>
    <row r="63" spans="2:15">
      <c r="B63" s="139">
        <v>164</v>
      </c>
      <c r="C63" s="190" t="s">
        <v>42</v>
      </c>
      <c r="D63" s="135" t="s">
        <v>308</v>
      </c>
      <c r="E63" s="135">
        <v>71150</v>
      </c>
      <c r="F63" s="135" t="s">
        <v>309</v>
      </c>
      <c r="G63" s="135" t="s">
        <v>101</v>
      </c>
      <c r="H63" s="135" t="s">
        <v>310</v>
      </c>
      <c r="I63" s="135" t="s">
        <v>36</v>
      </c>
      <c r="J63" s="269" t="s">
        <v>311</v>
      </c>
      <c r="K63" s="199" t="s">
        <v>312</v>
      </c>
      <c r="L63" s="269" t="s">
        <v>313</v>
      </c>
      <c r="M63" s="96" t="s">
        <v>314</v>
      </c>
      <c r="N63" s="96" t="s">
        <v>104</v>
      </c>
      <c r="O63" s="147" t="e">
        <v>#N/A</v>
      </c>
    </row>
    <row r="64" spans="2:15" ht="29">
      <c r="B64" s="139">
        <v>62</v>
      </c>
      <c r="C64" s="190" t="s">
        <v>145</v>
      </c>
      <c r="D64" s="135" t="s">
        <v>315</v>
      </c>
      <c r="E64" s="135">
        <v>25220</v>
      </c>
      <c r="F64" s="135" t="s">
        <v>316</v>
      </c>
      <c r="G64" s="135" t="s">
        <v>101</v>
      </c>
      <c r="H64" s="135" t="s">
        <v>148</v>
      </c>
      <c r="I64" s="135" t="s">
        <v>36</v>
      </c>
      <c r="J64" s="272" t="s">
        <v>149</v>
      </c>
      <c r="K64" s="135" t="s">
        <v>317</v>
      </c>
      <c r="L64" s="272" t="s">
        <v>75</v>
      </c>
      <c r="M64" s="135" t="s">
        <v>318</v>
      </c>
      <c r="N64" s="135" t="s">
        <v>104</v>
      </c>
      <c r="O64" s="147" t="e">
        <v>#N/A</v>
      </c>
    </row>
    <row r="65" spans="2:15" ht="58">
      <c r="B65" s="139">
        <v>165</v>
      </c>
      <c r="C65" s="466" t="s">
        <v>42</v>
      </c>
      <c r="D65" s="171" t="s">
        <v>319</v>
      </c>
      <c r="E65" s="171" t="s">
        <v>320</v>
      </c>
      <c r="F65" s="171" t="s">
        <v>321</v>
      </c>
      <c r="G65" s="171" t="s">
        <v>5</v>
      </c>
      <c r="H65" s="171" t="s">
        <v>322</v>
      </c>
      <c r="I65" s="171" t="s">
        <v>36</v>
      </c>
      <c r="J65" s="297" t="s">
        <v>323</v>
      </c>
      <c r="K65" s="201" t="s">
        <v>324</v>
      </c>
      <c r="L65" s="103" t="s">
        <v>313</v>
      </c>
      <c r="M65" s="172" t="s">
        <v>325</v>
      </c>
      <c r="N65" s="239" t="s">
        <v>326</v>
      </c>
      <c r="O65" s="147" t="e">
        <v>#N/A</v>
      </c>
    </row>
    <row r="66" spans="2:15" ht="58">
      <c r="B66" s="139">
        <v>166</v>
      </c>
      <c r="C66" s="422" t="s">
        <v>42</v>
      </c>
      <c r="D66" s="250" t="s">
        <v>319</v>
      </c>
      <c r="E66" s="250" t="s">
        <v>320</v>
      </c>
      <c r="F66" s="250" t="s">
        <v>327</v>
      </c>
      <c r="G66" s="250" t="s">
        <v>78</v>
      </c>
      <c r="H66" s="250" t="s">
        <v>328</v>
      </c>
      <c r="I66" s="250" t="s">
        <v>36</v>
      </c>
      <c r="J66" s="260" t="s">
        <v>311</v>
      </c>
      <c r="K66" s="252" t="s">
        <v>329</v>
      </c>
      <c r="L66" s="260" t="s">
        <v>313</v>
      </c>
      <c r="M66" s="251" t="s">
        <v>330</v>
      </c>
      <c r="N66" s="256" t="s">
        <v>83</v>
      </c>
      <c r="O66" s="147" t="e">
        <v>#N/A</v>
      </c>
    </row>
    <row r="67" spans="2:15" ht="43.5">
      <c r="B67" s="139">
        <v>167</v>
      </c>
      <c r="C67" s="471" t="s">
        <v>42</v>
      </c>
      <c r="D67" s="184" t="s">
        <v>319</v>
      </c>
      <c r="E67" s="184" t="s">
        <v>320</v>
      </c>
      <c r="F67" s="521" t="s">
        <v>331</v>
      </c>
      <c r="G67" s="184" t="s">
        <v>7</v>
      </c>
      <c r="H67" s="524" t="s">
        <v>332</v>
      </c>
      <c r="I67" s="524" t="s">
        <v>53</v>
      </c>
      <c r="J67" s="264" t="s">
        <v>333</v>
      </c>
      <c r="K67" s="200" t="s">
        <v>334</v>
      </c>
      <c r="L67" s="266" t="s">
        <v>56</v>
      </c>
      <c r="M67" s="206" t="s">
        <v>335</v>
      </c>
      <c r="N67" s="123" t="s">
        <v>58</v>
      </c>
      <c r="O67" s="147" t="e">
        <v>#N/A</v>
      </c>
    </row>
    <row r="68" spans="2:15" ht="116">
      <c r="B68" s="139">
        <v>168</v>
      </c>
      <c r="C68" s="190" t="s">
        <v>42</v>
      </c>
      <c r="D68" s="135" t="s">
        <v>319</v>
      </c>
      <c r="E68" s="135" t="s">
        <v>320</v>
      </c>
      <c r="F68" s="135" t="s">
        <v>327</v>
      </c>
      <c r="G68" s="135" t="s">
        <v>97</v>
      </c>
      <c r="H68" s="135" t="s">
        <v>328</v>
      </c>
      <c r="I68" s="135" t="s">
        <v>36</v>
      </c>
      <c r="J68" s="269" t="s">
        <v>311</v>
      </c>
      <c r="K68" s="199" t="s">
        <v>329</v>
      </c>
      <c r="L68" s="269" t="s">
        <v>313</v>
      </c>
      <c r="M68" s="96" t="s">
        <v>336</v>
      </c>
      <c r="N68" s="241" t="s">
        <v>337</v>
      </c>
      <c r="O68" s="147" t="e">
        <v>#N/A</v>
      </c>
    </row>
    <row r="69" spans="2:15" ht="29">
      <c r="B69" s="139">
        <v>169</v>
      </c>
      <c r="C69" s="333" t="s">
        <v>42</v>
      </c>
      <c r="D69" s="119" t="s">
        <v>319</v>
      </c>
      <c r="E69" s="119" t="s">
        <v>320</v>
      </c>
      <c r="F69" s="121" t="s">
        <v>338</v>
      </c>
      <c r="G69" s="121" t="s">
        <v>60</v>
      </c>
      <c r="H69" s="119" t="s">
        <v>332</v>
      </c>
      <c r="I69" s="119" t="s">
        <v>53</v>
      </c>
      <c r="J69" s="277" t="s">
        <v>333</v>
      </c>
      <c r="K69" s="119" t="s">
        <v>339</v>
      </c>
      <c r="L69" s="266" t="s">
        <v>56</v>
      </c>
      <c r="M69" s="216" t="s">
        <v>56</v>
      </c>
      <c r="N69" s="249" t="s">
        <v>340</v>
      </c>
      <c r="O69" s="147" t="e">
        <v>#N/A</v>
      </c>
    </row>
    <row r="70" spans="2:15" ht="108.75" customHeight="1">
      <c r="B70" s="139">
        <v>119</v>
      </c>
      <c r="C70" s="190" t="s">
        <v>31</v>
      </c>
      <c r="D70" s="135" t="s">
        <v>341</v>
      </c>
      <c r="E70" s="135">
        <v>39300</v>
      </c>
      <c r="F70" s="135" t="s">
        <v>342</v>
      </c>
      <c r="G70" s="135" t="s">
        <v>34</v>
      </c>
      <c r="H70" s="135" t="s">
        <v>35</v>
      </c>
      <c r="I70" s="135" t="s">
        <v>36</v>
      </c>
      <c r="J70" s="269" t="s">
        <v>343</v>
      </c>
      <c r="K70" s="199" t="s">
        <v>344</v>
      </c>
      <c r="L70" s="269" t="s">
        <v>345</v>
      </c>
      <c r="M70" s="96" t="s">
        <v>40</v>
      </c>
      <c r="N70" s="216" t="s">
        <v>41</v>
      </c>
      <c r="O70" s="147" t="e">
        <v>#N/A</v>
      </c>
    </row>
    <row r="71" spans="2:15" ht="87">
      <c r="B71" s="139">
        <v>246</v>
      </c>
      <c r="C71" s="189" t="s">
        <v>68</v>
      </c>
      <c r="D71" s="93" t="s">
        <v>346</v>
      </c>
      <c r="E71" s="93">
        <v>89340</v>
      </c>
      <c r="F71" s="93" t="s">
        <v>347</v>
      </c>
      <c r="G71" s="93" t="s">
        <v>9</v>
      </c>
      <c r="H71" s="93" t="s">
        <v>348</v>
      </c>
      <c r="I71" s="93" t="s">
        <v>349</v>
      </c>
      <c r="J71" s="304" t="s">
        <v>350</v>
      </c>
      <c r="K71" s="93" t="s">
        <v>351</v>
      </c>
      <c r="L71" s="279" t="s">
        <v>352</v>
      </c>
      <c r="M71" s="93"/>
      <c r="N71" s="93" t="s">
        <v>353</v>
      </c>
      <c r="O71" s="409"/>
    </row>
    <row r="72" spans="2:15" ht="29">
      <c r="B72" s="139">
        <v>247</v>
      </c>
      <c r="C72" s="565" t="s">
        <v>68</v>
      </c>
      <c r="D72" s="206" t="s">
        <v>346</v>
      </c>
      <c r="E72" s="206">
        <v>89340</v>
      </c>
      <c r="F72" s="122" t="s">
        <v>347</v>
      </c>
      <c r="G72" s="206" t="s">
        <v>7</v>
      </c>
      <c r="H72" s="206" t="s">
        <v>348</v>
      </c>
      <c r="I72" s="206" t="s">
        <v>349</v>
      </c>
      <c r="J72" s="319" t="s">
        <v>350</v>
      </c>
      <c r="K72" s="206" t="s">
        <v>354</v>
      </c>
      <c r="L72" s="265" t="s">
        <v>352</v>
      </c>
      <c r="M72" s="206" t="s">
        <v>355</v>
      </c>
      <c r="N72" s="123" t="s">
        <v>356</v>
      </c>
      <c r="O72" s="409"/>
    </row>
    <row r="73" spans="2:15">
      <c r="B73" s="139">
        <v>142</v>
      </c>
      <c r="C73" s="464" t="s">
        <v>357</v>
      </c>
      <c r="D73" s="120" t="s">
        <v>358</v>
      </c>
      <c r="E73" s="120" t="s">
        <v>359</v>
      </c>
      <c r="F73" s="120" t="s">
        <v>360</v>
      </c>
      <c r="G73" s="95" t="s">
        <v>306</v>
      </c>
      <c r="H73" s="120" t="s">
        <v>361</v>
      </c>
      <c r="I73" s="120" t="s">
        <v>349</v>
      </c>
      <c r="J73" s="284" t="s">
        <v>362</v>
      </c>
      <c r="K73" s="120" t="s">
        <v>363</v>
      </c>
      <c r="L73" s="266" t="s">
        <v>56</v>
      </c>
      <c r="M73" s="283" t="s">
        <v>364</v>
      </c>
      <c r="N73" s="598" t="s">
        <v>307</v>
      </c>
      <c r="O73" s="501" t="e">
        <v>#N/A</v>
      </c>
    </row>
    <row r="74" spans="2:15" ht="58">
      <c r="B74" s="139">
        <v>143</v>
      </c>
      <c r="C74" s="422" t="s">
        <v>357</v>
      </c>
      <c r="D74" s="250" t="s">
        <v>365</v>
      </c>
      <c r="E74" s="250">
        <v>58120</v>
      </c>
      <c r="F74" s="250" t="s">
        <v>366</v>
      </c>
      <c r="G74" s="250" t="s">
        <v>78</v>
      </c>
      <c r="H74" s="250" t="s">
        <v>79</v>
      </c>
      <c r="I74" s="250" t="s">
        <v>36</v>
      </c>
      <c r="J74" s="260" t="s">
        <v>367</v>
      </c>
      <c r="K74" s="252" t="s">
        <v>368</v>
      </c>
      <c r="L74" s="262" t="s">
        <v>56</v>
      </c>
      <c r="M74" s="251" t="s">
        <v>369</v>
      </c>
      <c r="N74" s="256" t="s">
        <v>83</v>
      </c>
      <c r="O74" s="147" t="e">
        <v>#N/A</v>
      </c>
    </row>
    <row r="75" spans="2:15" ht="29">
      <c r="B75" s="139">
        <v>8</v>
      </c>
      <c r="C75" s="190" t="s">
        <v>119</v>
      </c>
      <c r="D75" s="135" t="s">
        <v>370</v>
      </c>
      <c r="E75" s="135">
        <v>21400</v>
      </c>
      <c r="F75" s="135" t="s">
        <v>371</v>
      </c>
      <c r="G75" s="135" t="s">
        <v>34</v>
      </c>
      <c r="H75" s="135" t="s">
        <v>123</v>
      </c>
      <c r="I75" s="135" t="s">
        <v>36</v>
      </c>
      <c r="J75" s="84" t="s">
        <v>124</v>
      </c>
      <c r="K75" s="199" t="s">
        <v>125</v>
      </c>
      <c r="L75" s="269" t="s">
        <v>75</v>
      </c>
      <c r="M75" s="96" t="s">
        <v>372</v>
      </c>
      <c r="N75" s="216" t="s">
        <v>41</v>
      </c>
      <c r="O75" s="147" t="e">
        <v>#N/A</v>
      </c>
    </row>
    <row r="76" spans="2:15" ht="29">
      <c r="B76" s="139">
        <v>9</v>
      </c>
      <c r="C76" s="479" t="s">
        <v>119</v>
      </c>
      <c r="D76" s="259" t="s">
        <v>370</v>
      </c>
      <c r="E76" s="259">
        <v>21400</v>
      </c>
      <c r="F76" s="259" t="s">
        <v>373</v>
      </c>
      <c r="G76" s="259" t="s">
        <v>78</v>
      </c>
      <c r="H76" s="259" t="s">
        <v>123</v>
      </c>
      <c r="I76" s="259" t="s">
        <v>36</v>
      </c>
      <c r="J76" s="489" t="s">
        <v>124</v>
      </c>
      <c r="K76" s="259" t="s">
        <v>125</v>
      </c>
      <c r="L76" s="494" t="s">
        <v>75</v>
      </c>
      <c r="M76" s="250" t="s">
        <v>374</v>
      </c>
      <c r="N76" s="216" t="s">
        <v>41</v>
      </c>
      <c r="O76" s="147" t="e">
        <v>#N/A</v>
      </c>
    </row>
    <row r="77" spans="2:15" ht="29">
      <c r="B77" s="139">
        <v>10</v>
      </c>
      <c r="C77" s="422" t="s">
        <v>119</v>
      </c>
      <c r="D77" s="250" t="s">
        <v>370</v>
      </c>
      <c r="E77" s="250">
        <v>21400</v>
      </c>
      <c r="F77" s="250" t="s">
        <v>375</v>
      </c>
      <c r="G77" s="250" t="s">
        <v>78</v>
      </c>
      <c r="H77" s="250" t="s">
        <v>123</v>
      </c>
      <c r="I77" s="250" t="s">
        <v>36</v>
      </c>
      <c r="J77" s="570" t="s">
        <v>124</v>
      </c>
      <c r="K77" s="250" t="s">
        <v>125</v>
      </c>
      <c r="L77" s="582" t="s">
        <v>75</v>
      </c>
      <c r="M77" s="250" t="s">
        <v>374</v>
      </c>
      <c r="N77" s="134" t="s">
        <v>41</v>
      </c>
      <c r="O77" s="147" t="e">
        <v>#N/A</v>
      </c>
    </row>
    <row r="78" spans="2:15" ht="29">
      <c r="B78" s="139">
        <v>11</v>
      </c>
      <c r="C78" s="422" t="s">
        <v>119</v>
      </c>
      <c r="D78" s="250" t="s">
        <v>370</v>
      </c>
      <c r="E78" s="250">
        <v>21400</v>
      </c>
      <c r="F78" s="250" t="s">
        <v>376</v>
      </c>
      <c r="G78" s="250" t="s">
        <v>78</v>
      </c>
      <c r="H78" s="250" t="s">
        <v>123</v>
      </c>
      <c r="I78" s="250" t="s">
        <v>36</v>
      </c>
      <c r="J78" s="570" t="s">
        <v>124</v>
      </c>
      <c r="K78" s="250" t="s">
        <v>125</v>
      </c>
      <c r="L78" s="582" t="s">
        <v>75</v>
      </c>
      <c r="M78" s="250" t="s">
        <v>374</v>
      </c>
      <c r="N78" s="134" t="s">
        <v>175</v>
      </c>
      <c r="O78" s="147" t="e">
        <v>#N/A</v>
      </c>
    </row>
    <row r="79" spans="2:15" ht="29">
      <c r="B79" s="139">
        <v>12</v>
      </c>
      <c r="C79" s="190" t="s">
        <v>119</v>
      </c>
      <c r="D79" s="135" t="s">
        <v>370</v>
      </c>
      <c r="E79" s="135">
        <v>21400</v>
      </c>
      <c r="F79" s="135" t="s">
        <v>377</v>
      </c>
      <c r="G79" s="135" t="s">
        <v>101</v>
      </c>
      <c r="H79" s="135" t="s">
        <v>135</v>
      </c>
      <c r="I79" s="135" t="s">
        <v>36</v>
      </c>
      <c r="J79" s="84" t="s">
        <v>124</v>
      </c>
      <c r="K79" s="199" t="s">
        <v>125</v>
      </c>
      <c r="L79" s="269" t="s">
        <v>75</v>
      </c>
      <c r="M79" s="96" t="s">
        <v>378</v>
      </c>
      <c r="N79" s="134" t="s">
        <v>175</v>
      </c>
      <c r="O79" s="147" t="e">
        <v>#N/A</v>
      </c>
    </row>
    <row r="80" spans="2:15" ht="29">
      <c r="B80" s="139">
        <v>260</v>
      </c>
      <c r="C80" s="190" t="s">
        <v>119</v>
      </c>
      <c r="D80" s="135" t="s">
        <v>370</v>
      </c>
      <c r="E80" s="135">
        <v>21400</v>
      </c>
      <c r="F80" s="135" t="s">
        <v>379</v>
      </c>
      <c r="G80" s="135" t="s">
        <v>101</v>
      </c>
      <c r="H80" s="135" t="s">
        <v>135</v>
      </c>
      <c r="I80" s="135" t="s">
        <v>36</v>
      </c>
      <c r="J80" s="84" t="s">
        <v>124</v>
      </c>
      <c r="K80" s="199" t="s">
        <v>125</v>
      </c>
      <c r="L80" s="269" t="s">
        <v>75</v>
      </c>
      <c r="M80" s="199" t="s">
        <v>380</v>
      </c>
      <c r="N80" s="516"/>
      <c r="O80" s="147"/>
    </row>
    <row r="81" spans="2:15" ht="29">
      <c r="B81" s="139">
        <v>144</v>
      </c>
      <c r="C81" s="190" t="s">
        <v>357</v>
      </c>
      <c r="D81" s="135" t="s">
        <v>381</v>
      </c>
      <c r="E81" s="135">
        <v>58500</v>
      </c>
      <c r="F81" s="135" t="s">
        <v>382</v>
      </c>
      <c r="G81" s="135" t="s">
        <v>101</v>
      </c>
      <c r="H81" s="135" t="s">
        <v>383</v>
      </c>
      <c r="I81" s="135" t="s">
        <v>36</v>
      </c>
      <c r="J81" s="269" t="s">
        <v>367</v>
      </c>
      <c r="K81" s="526" t="s">
        <v>384</v>
      </c>
      <c r="L81" s="269" t="s">
        <v>75</v>
      </c>
      <c r="M81" s="96" t="s">
        <v>385</v>
      </c>
      <c r="N81" s="220" t="s">
        <v>104</v>
      </c>
      <c r="O81" s="147" t="e">
        <v>#N/A</v>
      </c>
    </row>
    <row r="82" spans="2:15" ht="29">
      <c r="B82" s="139">
        <v>145</v>
      </c>
      <c r="C82" s="468" t="s">
        <v>357</v>
      </c>
      <c r="D82" s="186" t="s">
        <v>386</v>
      </c>
      <c r="E82" s="186">
        <v>58206</v>
      </c>
      <c r="F82" s="135" t="s">
        <v>387</v>
      </c>
      <c r="G82" s="186" t="s">
        <v>101</v>
      </c>
      <c r="H82" s="186" t="s">
        <v>388</v>
      </c>
      <c r="I82" s="186" t="s">
        <v>36</v>
      </c>
      <c r="J82" s="268" t="s">
        <v>389</v>
      </c>
      <c r="K82" s="331" t="s">
        <v>384</v>
      </c>
      <c r="L82" s="268" t="s">
        <v>75</v>
      </c>
      <c r="M82" s="100" t="s">
        <v>390</v>
      </c>
      <c r="N82" s="220" t="s">
        <v>104</v>
      </c>
      <c r="O82" s="147" t="e">
        <v>#N/A</v>
      </c>
    </row>
    <row r="83" spans="2:15">
      <c r="B83" s="139">
        <v>120</v>
      </c>
      <c r="C83" s="190" t="s">
        <v>31</v>
      </c>
      <c r="D83" s="135" t="s">
        <v>391</v>
      </c>
      <c r="E83" s="135">
        <v>39190</v>
      </c>
      <c r="F83" s="135" t="s">
        <v>392</v>
      </c>
      <c r="G83" s="186" t="s">
        <v>101</v>
      </c>
      <c r="H83" s="135" t="s">
        <v>393</v>
      </c>
      <c r="I83" s="135" t="s">
        <v>36</v>
      </c>
      <c r="J83" s="84" t="s">
        <v>394</v>
      </c>
      <c r="K83" s="199">
        <v>783898529</v>
      </c>
      <c r="L83" s="269" t="s">
        <v>395</v>
      </c>
      <c r="M83" s="96" t="s">
        <v>396</v>
      </c>
      <c r="N83" s="220" t="s">
        <v>104</v>
      </c>
      <c r="O83" s="147" t="e">
        <v>#N/A</v>
      </c>
    </row>
    <row r="84" spans="2:15" ht="29">
      <c r="B84" s="139">
        <v>146</v>
      </c>
      <c r="C84" s="474" t="s">
        <v>357</v>
      </c>
      <c r="D84" s="181" t="s">
        <v>397</v>
      </c>
      <c r="E84" s="181" t="s">
        <v>398</v>
      </c>
      <c r="F84" s="181" t="s">
        <v>399</v>
      </c>
      <c r="G84" s="181" t="s">
        <v>7</v>
      </c>
      <c r="H84" s="181" t="s">
        <v>400</v>
      </c>
      <c r="I84" s="181" t="s">
        <v>53</v>
      </c>
      <c r="J84" s="265" t="s">
        <v>401</v>
      </c>
      <c r="K84" s="203" t="s">
        <v>402</v>
      </c>
      <c r="L84" s="265" t="s">
        <v>403</v>
      </c>
      <c r="M84" s="206" t="s">
        <v>404</v>
      </c>
      <c r="N84" s="123" t="s">
        <v>197</v>
      </c>
      <c r="O84" s="147" t="e">
        <v>#N/A</v>
      </c>
    </row>
    <row r="85" spans="2:15" ht="29">
      <c r="B85" s="139">
        <v>147</v>
      </c>
      <c r="C85" s="190" t="s">
        <v>357</v>
      </c>
      <c r="D85" s="135" t="s">
        <v>397</v>
      </c>
      <c r="E85" s="135">
        <v>58300</v>
      </c>
      <c r="F85" s="135" t="s">
        <v>405</v>
      </c>
      <c r="G85" s="135" t="s">
        <v>101</v>
      </c>
      <c r="H85" s="135" t="s">
        <v>406</v>
      </c>
      <c r="I85" s="135" t="s">
        <v>36</v>
      </c>
      <c r="J85" s="268" t="s">
        <v>367</v>
      </c>
      <c r="K85" s="331" t="s">
        <v>384</v>
      </c>
      <c r="L85" s="269" t="s">
        <v>75</v>
      </c>
      <c r="M85" s="100" t="s">
        <v>407</v>
      </c>
      <c r="N85" s="245" t="s">
        <v>104</v>
      </c>
      <c r="O85" s="147" t="e">
        <v>#N/A</v>
      </c>
    </row>
    <row r="86" spans="2:15" ht="43.5">
      <c r="B86" s="139">
        <v>148</v>
      </c>
      <c r="C86" s="333" t="s">
        <v>357</v>
      </c>
      <c r="D86" s="119" t="s">
        <v>397</v>
      </c>
      <c r="E86" s="119" t="s">
        <v>398</v>
      </c>
      <c r="F86" s="121" t="s">
        <v>408</v>
      </c>
      <c r="G86" s="121" t="s">
        <v>60</v>
      </c>
      <c r="H86" s="119" t="s">
        <v>400</v>
      </c>
      <c r="I86" s="119" t="s">
        <v>53</v>
      </c>
      <c r="J86" s="277" t="s">
        <v>401</v>
      </c>
      <c r="K86" s="119" t="s">
        <v>402</v>
      </c>
      <c r="L86" s="277" t="s">
        <v>403</v>
      </c>
      <c r="M86" s="216" t="s">
        <v>56</v>
      </c>
      <c r="N86" s="336" t="s">
        <v>409</v>
      </c>
      <c r="O86" s="147" t="e">
        <v>#N/A</v>
      </c>
    </row>
    <row r="87" spans="2:15" ht="43.5">
      <c r="B87" s="139">
        <v>149</v>
      </c>
      <c r="C87" s="189" t="s">
        <v>357</v>
      </c>
      <c r="D87" s="93" t="s">
        <v>397</v>
      </c>
      <c r="E87" s="93">
        <v>58300</v>
      </c>
      <c r="F87" s="93" t="s">
        <v>410</v>
      </c>
      <c r="G87" s="93" t="s">
        <v>9</v>
      </c>
      <c r="H87" s="93" t="s">
        <v>400</v>
      </c>
      <c r="I87" s="93" t="s">
        <v>53</v>
      </c>
      <c r="J87" s="279" t="s">
        <v>411</v>
      </c>
      <c r="K87" s="93" t="s">
        <v>402</v>
      </c>
      <c r="L87" s="280" t="s">
        <v>403</v>
      </c>
      <c r="M87" s="216" t="s">
        <v>56</v>
      </c>
      <c r="N87" s="247" t="s">
        <v>412</v>
      </c>
      <c r="O87" s="147" t="e">
        <v>#N/A</v>
      </c>
    </row>
    <row r="88" spans="2:15" ht="29">
      <c r="B88" s="139">
        <v>204</v>
      </c>
      <c r="C88" s="469" t="s">
        <v>152</v>
      </c>
      <c r="D88" s="191" t="s">
        <v>413</v>
      </c>
      <c r="E88" s="191">
        <v>90100</v>
      </c>
      <c r="F88" s="191" t="s">
        <v>414</v>
      </c>
      <c r="G88" s="191" t="s">
        <v>101</v>
      </c>
      <c r="H88" s="191" t="s">
        <v>415</v>
      </c>
      <c r="I88" s="191" t="s">
        <v>36</v>
      </c>
      <c r="J88" s="572" t="s">
        <v>190</v>
      </c>
      <c r="K88" s="516" t="s">
        <v>416</v>
      </c>
      <c r="L88" s="572" t="s">
        <v>192</v>
      </c>
      <c r="M88" s="220" t="s">
        <v>417</v>
      </c>
      <c r="N88" s="220" t="s">
        <v>104</v>
      </c>
      <c r="O88" s="147" t="s">
        <v>161</v>
      </c>
    </row>
    <row r="89" spans="2:15" ht="29">
      <c r="B89" s="139">
        <v>15</v>
      </c>
      <c r="C89" s="470" t="s">
        <v>119</v>
      </c>
      <c r="D89" s="283" t="s">
        <v>418</v>
      </c>
      <c r="E89" s="283">
        <v>21000</v>
      </c>
      <c r="F89" s="283" t="s">
        <v>419</v>
      </c>
      <c r="G89" s="283" t="s">
        <v>420</v>
      </c>
      <c r="H89" s="283" t="s">
        <v>421</v>
      </c>
      <c r="I89" s="283" t="s">
        <v>36</v>
      </c>
      <c r="J89" s="487" t="s">
        <v>422</v>
      </c>
      <c r="K89" s="283" t="s">
        <v>423</v>
      </c>
      <c r="L89" s="419" t="s">
        <v>424</v>
      </c>
      <c r="M89" s="283" t="s">
        <v>425</v>
      </c>
      <c r="N89" s="283" t="s">
        <v>426</v>
      </c>
      <c r="O89" s="147" t="e">
        <v>#N/A</v>
      </c>
    </row>
    <row r="90" spans="2:15" ht="130.5">
      <c r="B90" s="139">
        <v>16</v>
      </c>
      <c r="C90" s="466" t="s">
        <v>119</v>
      </c>
      <c r="D90" s="171" t="s">
        <v>418</v>
      </c>
      <c r="E90" s="171" t="s">
        <v>427</v>
      </c>
      <c r="F90" s="171" t="s">
        <v>428</v>
      </c>
      <c r="G90" s="171" t="s">
        <v>429</v>
      </c>
      <c r="H90" s="171" t="s">
        <v>430</v>
      </c>
      <c r="I90" s="171" t="s">
        <v>36</v>
      </c>
      <c r="J90" s="297" t="s">
        <v>431</v>
      </c>
      <c r="K90" s="201" t="s">
        <v>432</v>
      </c>
      <c r="L90" s="492" t="s">
        <v>433</v>
      </c>
      <c r="M90" s="217" t="s">
        <v>434</v>
      </c>
      <c r="N90" s="239" t="s">
        <v>435</v>
      </c>
      <c r="O90" s="147" t="e">
        <v>#N/A</v>
      </c>
    </row>
    <row r="91" spans="2:15" ht="43.5">
      <c r="B91" s="139">
        <v>17</v>
      </c>
      <c r="C91" s="422" t="s">
        <v>119</v>
      </c>
      <c r="D91" s="250" t="s">
        <v>418</v>
      </c>
      <c r="E91" s="250">
        <v>21000</v>
      </c>
      <c r="F91" s="250" t="s">
        <v>436</v>
      </c>
      <c r="G91" s="250" t="s">
        <v>78</v>
      </c>
      <c r="H91" s="250" t="s">
        <v>171</v>
      </c>
      <c r="I91" s="250" t="s">
        <v>36</v>
      </c>
      <c r="J91" s="260" t="s">
        <v>437</v>
      </c>
      <c r="K91" s="252" t="s">
        <v>438</v>
      </c>
      <c r="L91" s="261" t="s">
        <v>433</v>
      </c>
      <c r="M91" s="251" t="s">
        <v>439</v>
      </c>
      <c r="N91" s="256" t="s">
        <v>440</v>
      </c>
      <c r="O91" s="147" t="e">
        <v>#N/A</v>
      </c>
    </row>
    <row r="92" spans="2:15" ht="29">
      <c r="B92" s="139">
        <v>18</v>
      </c>
      <c r="C92" s="389" t="s">
        <v>119</v>
      </c>
      <c r="D92" s="104" t="s">
        <v>418</v>
      </c>
      <c r="E92" s="104" t="s">
        <v>427</v>
      </c>
      <c r="F92" s="104" t="s">
        <v>441</v>
      </c>
      <c r="G92" s="104" t="s">
        <v>7</v>
      </c>
      <c r="H92" s="104" t="s">
        <v>442</v>
      </c>
      <c r="I92" s="104" t="s">
        <v>53</v>
      </c>
      <c r="J92" s="265" t="s">
        <v>443</v>
      </c>
      <c r="K92" s="203" t="s">
        <v>444</v>
      </c>
      <c r="L92" s="265" t="s">
        <v>445</v>
      </c>
      <c r="M92" s="206" t="s">
        <v>446</v>
      </c>
      <c r="N92" s="122" t="s">
        <v>197</v>
      </c>
      <c r="O92" s="147" t="e">
        <v>#N/A</v>
      </c>
    </row>
    <row r="93" spans="2:15" ht="58">
      <c r="B93" s="139">
        <v>19</v>
      </c>
      <c r="C93" s="474" t="s">
        <v>119</v>
      </c>
      <c r="D93" s="181" t="s">
        <v>418</v>
      </c>
      <c r="E93" s="181" t="s">
        <v>427</v>
      </c>
      <c r="F93" s="181" t="s">
        <v>447</v>
      </c>
      <c r="G93" s="181" t="s">
        <v>7</v>
      </c>
      <c r="H93" s="181" t="s">
        <v>448</v>
      </c>
      <c r="I93" s="181" t="s">
        <v>53</v>
      </c>
      <c r="J93" s="265" t="s">
        <v>449</v>
      </c>
      <c r="K93" s="203" t="s">
        <v>450</v>
      </c>
      <c r="L93" s="265" t="s">
        <v>451</v>
      </c>
      <c r="M93" s="122" t="s">
        <v>452</v>
      </c>
      <c r="N93" s="206" t="s">
        <v>96</v>
      </c>
      <c r="O93" s="147" t="e">
        <v>#N/A</v>
      </c>
    </row>
    <row r="94" spans="2:15" ht="29">
      <c r="B94" s="139">
        <v>20</v>
      </c>
      <c r="C94" s="190" t="s">
        <v>119</v>
      </c>
      <c r="D94" s="135" t="s">
        <v>418</v>
      </c>
      <c r="E94" s="135" t="s">
        <v>427</v>
      </c>
      <c r="F94" s="96" t="s">
        <v>453</v>
      </c>
      <c r="G94" s="135" t="s">
        <v>97</v>
      </c>
      <c r="H94" s="96" t="s">
        <v>454</v>
      </c>
      <c r="I94" s="135" t="s">
        <v>36</v>
      </c>
      <c r="J94" s="268" t="s">
        <v>455</v>
      </c>
      <c r="K94" s="205" t="s">
        <v>456</v>
      </c>
      <c r="L94" s="268" t="s">
        <v>433</v>
      </c>
      <c r="M94" s="100" t="s">
        <v>457</v>
      </c>
      <c r="N94" s="243" t="s">
        <v>458</v>
      </c>
      <c r="O94" s="147" t="e">
        <v>#N/A</v>
      </c>
    </row>
    <row r="95" spans="2:15" ht="72.5">
      <c r="B95" s="139">
        <v>21</v>
      </c>
      <c r="C95" s="190" t="s">
        <v>119</v>
      </c>
      <c r="D95" s="135" t="s">
        <v>418</v>
      </c>
      <c r="E95" s="135" t="s">
        <v>427</v>
      </c>
      <c r="F95" s="135" t="s">
        <v>459</v>
      </c>
      <c r="G95" s="135" t="s">
        <v>97</v>
      </c>
      <c r="H95" s="135" t="s">
        <v>171</v>
      </c>
      <c r="I95" s="135" t="s">
        <v>36</v>
      </c>
      <c r="J95" s="268" t="s">
        <v>437</v>
      </c>
      <c r="K95" s="205" t="s">
        <v>438</v>
      </c>
      <c r="L95" s="268" t="s">
        <v>433</v>
      </c>
      <c r="M95" s="100" t="s">
        <v>460</v>
      </c>
      <c r="N95" s="235" t="s">
        <v>461</v>
      </c>
      <c r="O95" s="147" t="e">
        <v>#N/A</v>
      </c>
    </row>
    <row r="96" spans="2:15" ht="29">
      <c r="B96" s="139">
        <v>22</v>
      </c>
      <c r="C96" s="190" t="s">
        <v>119</v>
      </c>
      <c r="D96" s="135" t="s">
        <v>418</v>
      </c>
      <c r="E96" s="135">
        <v>21000</v>
      </c>
      <c r="F96" s="135" t="s">
        <v>462</v>
      </c>
      <c r="G96" s="135" t="s">
        <v>463</v>
      </c>
      <c r="H96" s="135" t="s">
        <v>123</v>
      </c>
      <c r="I96" s="135" t="s">
        <v>36</v>
      </c>
      <c r="J96" s="275" t="s">
        <v>124</v>
      </c>
      <c r="K96" s="136" t="s">
        <v>125</v>
      </c>
      <c r="L96" s="269" t="s">
        <v>75</v>
      </c>
      <c r="M96" s="586" t="s">
        <v>464</v>
      </c>
      <c r="N96" s="191" t="s">
        <v>465</v>
      </c>
      <c r="O96" s="147" t="e">
        <v>#N/A</v>
      </c>
    </row>
    <row r="97" spans="1:15" ht="29">
      <c r="B97" s="139">
        <v>23</v>
      </c>
      <c r="C97" s="333" t="s">
        <v>119</v>
      </c>
      <c r="D97" s="119" t="s">
        <v>418</v>
      </c>
      <c r="E97" s="119" t="s">
        <v>427</v>
      </c>
      <c r="F97" s="119" t="s">
        <v>466</v>
      </c>
      <c r="G97" s="121" t="s">
        <v>60</v>
      </c>
      <c r="H97" s="119" t="s">
        <v>448</v>
      </c>
      <c r="I97" s="119" t="s">
        <v>53</v>
      </c>
      <c r="J97" s="277" t="s">
        <v>449</v>
      </c>
      <c r="K97" s="119" t="s">
        <v>467</v>
      </c>
      <c r="L97" s="277" t="s">
        <v>451</v>
      </c>
      <c r="M97" s="216" t="s">
        <v>41</v>
      </c>
      <c r="N97" s="231" t="s">
        <v>468</v>
      </c>
      <c r="O97" s="147" t="e">
        <v>#N/A</v>
      </c>
    </row>
    <row r="98" spans="1:15" ht="43.5">
      <c r="B98" s="139">
        <v>24</v>
      </c>
      <c r="C98" s="189" t="s">
        <v>119</v>
      </c>
      <c r="D98" s="93" t="s">
        <v>418</v>
      </c>
      <c r="E98" s="93" t="s">
        <v>427</v>
      </c>
      <c r="F98" s="93" t="s">
        <v>469</v>
      </c>
      <c r="G98" s="93" t="s">
        <v>9</v>
      </c>
      <c r="H98" s="93" t="s">
        <v>470</v>
      </c>
      <c r="I98" s="93" t="s">
        <v>53</v>
      </c>
      <c r="J98" s="279" t="s">
        <v>471</v>
      </c>
      <c r="K98" s="193" t="s">
        <v>472</v>
      </c>
      <c r="L98" s="279" t="s">
        <v>473</v>
      </c>
      <c r="M98" s="215" t="s">
        <v>41</v>
      </c>
      <c r="N98" s="232" t="s">
        <v>474</v>
      </c>
      <c r="O98" s="147" t="e">
        <v>#N/A</v>
      </c>
    </row>
    <row r="99" spans="1:15" ht="58">
      <c r="B99" s="139">
        <v>25</v>
      </c>
      <c r="C99" s="189" t="s">
        <v>119</v>
      </c>
      <c r="D99" s="93" t="s">
        <v>418</v>
      </c>
      <c r="E99" s="93" t="s">
        <v>427</v>
      </c>
      <c r="F99" s="93" t="s">
        <v>447</v>
      </c>
      <c r="G99" s="93" t="s">
        <v>9</v>
      </c>
      <c r="H99" s="93" t="s">
        <v>448</v>
      </c>
      <c r="I99" s="93" t="s">
        <v>53</v>
      </c>
      <c r="J99" s="279" t="s">
        <v>449</v>
      </c>
      <c r="K99" s="193" t="s">
        <v>475</v>
      </c>
      <c r="L99" s="279" t="s">
        <v>451</v>
      </c>
      <c r="M99" s="215" t="s">
        <v>41</v>
      </c>
      <c r="N99" s="232" t="s">
        <v>476</v>
      </c>
      <c r="O99" s="147" t="e">
        <v>#N/A</v>
      </c>
    </row>
    <row r="100" spans="1:15" ht="87">
      <c r="B100" s="139">
        <v>26</v>
      </c>
      <c r="C100" s="464" t="s">
        <v>119</v>
      </c>
      <c r="D100" s="192" t="s">
        <v>418</v>
      </c>
      <c r="E100" s="192" t="s">
        <v>427</v>
      </c>
      <c r="F100" s="120" t="s">
        <v>477</v>
      </c>
      <c r="G100" s="488" t="s">
        <v>306</v>
      </c>
      <c r="H100" s="192" t="s">
        <v>478</v>
      </c>
      <c r="I100" s="192" t="s">
        <v>36</v>
      </c>
      <c r="J100" s="285" t="s">
        <v>422</v>
      </c>
      <c r="K100" s="192" t="s">
        <v>479</v>
      </c>
      <c r="L100" s="584" t="s">
        <v>424</v>
      </c>
      <c r="M100" s="404" t="s">
        <v>439</v>
      </c>
      <c r="N100" s="500" t="s">
        <v>480</v>
      </c>
      <c r="O100" s="147" t="e">
        <v>#N/A</v>
      </c>
    </row>
    <row r="101" spans="1:15" ht="60" customHeight="1">
      <c r="B101" s="139">
        <v>27</v>
      </c>
      <c r="C101" s="478" t="s">
        <v>119</v>
      </c>
      <c r="D101" s="208" t="s">
        <v>418</v>
      </c>
      <c r="E101" s="208" t="s">
        <v>427</v>
      </c>
      <c r="F101" s="118" t="s">
        <v>481</v>
      </c>
      <c r="G101" s="523" t="s">
        <v>113</v>
      </c>
      <c r="H101" s="208" t="s">
        <v>470</v>
      </c>
      <c r="I101" s="208" t="s">
        <v>53</v>
      </c>
      <c r="J101" s="288" t="s">
        <v>471</v>
      </c>
      <c r="K101" s="208" t="s">
        <v>472</v>
      </c>
      <c r="L101" s="288" t="s">
        <v>473</v>
      </c>
      <c r="M101" s="215" t="s">
        <v>41</v>
      </c>
      <c r="N101" s="237" t="s">
        <v>114</v>
      </c>
      <c r="O101" s="147" t="e">
        <v>#N/A</v>
      </c>
    </row>
    <row r="102" spans="1:15" ht="58">
      <c r="B102" s="139">
        <v>28</v>
      </c>
      <c r="C102" s="478" t="s">
        <v>119</v>
      </c>
      <c r="D102" s="208" t="s">
        <v>418</v>
      </c>
      <c r="E102" s="208" t="s">
        <v>427</v>
      </c>
      <c r="F102" s="118" t="s">
        <v>447</v>
      </c>
      <c r="G102" s="523" t="s">
        <v>113</v>
      </c>
      <c r="H102" s="208" t="s">
        <v>448</v>
      </c>
      <c r="I102" s="208" t="s">
        <v>53</v>
      </c>
      <c r="J102" s="288" t="s">
        <v>449</v>
      </c>
      <c r="K102" s="208" t="s">
        <v>475</v>
      </c>
      <c r="L102" s="288" t="s">
        <v>451</v>
      </c>
      <c r="M102" s="215" t="s">
        <v>41</v>
      </c>
      <c r="N102" s="237" t="s">
        <v>114</v>
      </c>
      <c r="O102" s="147" t="e">
        <v>#N/A</v>
      </c>
    </row>
    <row r="103" spans="1:15" ht="58">
      <c r="B103" s="139">
        <v>29</v>
      </c>
      <c r="C103" s="477" t="s">
        <v>119</v>
      </c>
      <c r="D103" s="182" t="s">
        <v>418</v>
      </c>
      <c r="E103" s="182" t="s">
        <v>427</v>
      </c>
      <c r="F103" s="182" t="s">
        <v>447</v>
      </c>
      <c r="G103" s="183" t="s">
        <v>11</v>
      </c>
      <c r="H103" s="182" t="s">
        <v>448</v>
      </c>
      <c r="I103" s="182" t="s">
        <v>53</v>
      </c>
      <c r="J103" s="294" t="s">
        <v>449</v>
      </c>
      <c r="K103" s="182" t="s">
        <v>482</v>
      </c>
      <c r="L103" s="295" t="s">
        <v>451</v>
      </c>
      <c r="M103" s="182" t="s">
        <v>483</v>
      </c>
      <c r="N103" s="296" t="s">
        <v>116</v>
      </c>
      <c r="O103" s="147" t="e">
        <v>#N/A</v>
      </c>
    </row>
    <row r="104" spans="1:15" ht="45.65" customHeight="1">
      <c r="A104" s="423"/>
      <c r="B104" s="139">
        <v>30</v>
      </c>
      <c r="C104" s="190" t="s">
        <v>119</v>
      </c>
      <c r="D104" s="135" t="s">
        <v>418</v>
      </c>
      <c r="E104" s="135">
        <v>21000</v>
      </c>
      <c r="F104" s="135" t="s">
        <v>484</v>
      </c>
      <c r="G104" s="135" t="s">
        <v>485</v>
      </c>
      <c r="H104" s="135" t="s">
        <v>486</v>
      </c>
      <c r="I104" s="135" t="s">
        <v>53</v>
      </c>
      <c r="J104" s="268" t="s">
        <v>487</v>
      </c>
      <c r="K104" s="205" t="s">
        <v>488</v>
      </c>
      <c r="L104" s="269" t="s">
        <v>489</v>
      </c>
      <c r="M104" s="100" t="s">
        <v>490</v>
      </c>
      <c r="N104" s="497" t="s">
        <v>491</v>
      </c>
      <c r="O104" s="147" t="e">
        <v>#N/A</v>
      </c>
    </row>
    <row r="105" spans="1:15" ht="28" customHeight="1">
      <c r="A105" s="423"/>
      <c r="B105" s="139">
        <v>265</v>
      </c>
      <c r="C105" s="504" t="s">
        <v>119</v>
      </c>
      <c r="D105" s="198" t="s">
        <v>418</v>
      </c>
      <c r="E105" s="198">
        <v>21000</v>
      </c>
      <c r="F105" s="198" t="s">
        <v>441</v>
      </c>
      <c r="G105" s="198" t="s">
        <v>60</v>
      </c>
      <c r="H105" s="198" t="s">
        <v>442</v>
      </c>
      <c r="I105" s="198" t="s">
        <v>53</v>
      </c>
      <c r="J105" s="573" t="s">
        <v>443</v>
      </c>
      <c r="K105" s="194" t="s">
        <v>444</v>
      </c>
      <c r="L105" s="573" t="s">
        <v>445</v>
      </c>
      <c r="M105" s="194" t="s">
        <v>492</v>
      </c>
      <c r="N105" s="594"/>
      <c r="O105" s="147"/>
    </row>
    <row r="106" spans="1:15" ht="91.5" customHeight="1">
      <c r="B106" s="139">
        <v>121</v>
      </c>
      <c r="C106" s="479" t="s">
        <v>31</v>
      </c>
      <c r="D106" s="259" t="s">
        <v>493</v>
      </c>
      <c r="E106" s="259" t="s">
        <v>494</v>
      </c>
      <c r="F106" s="259" t="s">
        <v>495</v>
      </c>
      <c r="G106" s="259" t="s">
        <v>78</v>
      </c>
      <c r="H106" s="259" t="s">
        <v>496</v>
      </c>
      <c r="I106" s="250" t="s">
        <v>53</v>
      </c>
      <c r="J106" s="260" t="s">
        <v>497</v>
      </c>
      <c r="K106" s="252" t="s">
        <v>498</v>
      </c>
      <c r="L106" s="267" t="s">
        <v>56</v>
      </c>
      <c r="M106" s="251" t="s">
        <v>499</v>
      </c>
      <c r="N106" s="256" t="s">
        <v>500</v>
      </c>
      <c r="O106" s="161" t="e">
        <v>#N/A</v>
      </c>
    </row>
    <row r="107" spans="1:15" ht="43.5">
      <c r="B107" s="139">
        <v>122</v>
      </c>
      <c r="C107" s="104" t="s">
        <v>31</v>
      </c>
      <c r="D107" s="104" t="s">
        <v>493</v>
      </c>
      <c r="E107" s="104" t="s">
        <v>494</v>
      </c>
      <c r="F107" s="104" t="s">
        <v>501</v>
      </c>
      <c r="G107" s="104" t="s">
        <v>7</v>
      </c>
      <c r="H107" s="104" t="s">
        <v>502</v>
      </c>
      <c r="I107" s="104" t="s">
        <v>53</v>
      </c>
      <c r="J107" s="264" t="s">
        <v>503</v>
      </c>
      <c r="K107" s="200" t="s">
        <v>504</v>
      </c>
      <c r="L107" s="264" t="s">
        <v>505</v>
      </c>
      <c r="M107" s="122" t="s">
        <v>506</v>
      </c>
      <c r="N107" s="123" t="s">
        <v>96</v>
      </c>
      <c r="O107" s="147" t="e">
        <v>#N/A</v>
      </c>
    </row>
    <row r="108" spans="1:15" ht="58">
      <c r="B108" s="139">
        <v>123</v>
      </c>
      <c r="C108" s="190" t="s">
        <v>31</v>
      </c>
      <c r="D108" s="135" t="s">
        <v>493</v>
      </c>
      <c r="E108" s="135" t="s">
        <v>494</v>
      </c>
      <c r="F108" s="522" t="s">
        <v>507</v>
      </c>
      <c r="G108" s="135" t="s">
        <v>97</v>
      </c>
      <c r="H108" s="135" t="s">
        <v>496</v>
      </c>
      <c r="I108" s="135" t="s">
        <v>53</v>
      </c>
      <c r="J108" s="269" t="s">
        <v>497</v>
      </c>
      <c r="K108" s="199" t="s">
        <v>498</v>
      </c>
      <c r="L108" s="267" t="s">
        <v>56</v>
      </c>
      <c r="M108" s="96" t="s">
        <v>508</v>
      </c>
      <c r="N108" s="241" t="s">
        <v>509</v>
      </c>
      <c r="O108" s="161" t="e">
        <v>#N/A</v>
      </c>
    </row>
    <row r="109" spans="1:15" ht="29">
      <c r="A109" s="423"/>
      <c r="B109" s="139">
        <v>124</v>
      </c>
      <c r="C109" s="333" t="s">
        <v>31</v>
      </c>
      <c r="D109" s="119" t="s">
        <v>493</v>
      </c>
      <c r="E109" s="119" t="s">
        <v>494</v>
      </c>
      <c r="F109" s="121" t="s">
        <v>510</v>
      </c>
      <c r="G109" s="121" t="s">
        <v>60</v>
      </c>
      <c r="H109" s="119" t="s">
        <v>511</v>
      </c>
      <c r="I109" s="119" t="s">
        <v>53</v>
      </c>
      <c r="J109" s="276" t="s">
        <v>512</v>
      </c>
      <c r="K109" s="178" t="s">
        <v>513</v>
      </c>
      <c r="L109" s="267" t="s">
        <v>56</v>
      </c>
      <c r="M109" s="215" t="s">
        <v>41</v>
      </c>
      <c r="N109" s="249" t="s">
        <v>514</v>
      </c>
      <c r="O109" s="147" t="e">
        <v>#N/A</v>
      </c>
    </row>
    <row r="110" spans="1:15" ht="43.5">
      <c r="A110" s="423"/>
      <c r="B110" s="139">
        <v>125</v>
      </c>
      <c r="C110" s="189" t="s">
        <v>31</v>
      </c>
      <c r="D110" s="93" t="s">
        <v>493</v>
      </c>
      <c r="E110" s="93" t="s">
        <v>494</v>
      </c>
      <c r="F110" s="93" t="s">
        <v>515</v>
      </c>
      <c r="G110" s="93" t="s">
        <v>9</v>
      </c>
      <c r="H110" s="93" t="s">
        <v>516</v>
      </c>
      <c r="I110" s="93" t="s">
        <v>53</v>
      </c>
      <c r="J110" s="280" t="s">
        <v>517</v>
      </c>
      <c r="K110" s="193" t="s">
        <v>518</v>
      </c>
      <c r="L110" s="279" t="s">
        <v>505</v>
      </c>
      <c r="M110" s="215" t="s">
        <v>41</v>
      </c>
      <c r="N110" s="247" t="s">
        <v>519</v>
      </c>
      <c r="O110" s="147" t="e">
        <v>#N/A</v>
      </c>
    </row>
    <row r="111" spans="1:15" ht="43.5">
      <c r="A111" s="423"/>
      <c r="B111" s="139">
        <v>126</v>
      </c>
      <c r="C111" s="478" t="s">
        <v>31</v>
      </c>
      <c r="D111" s="118" t="s">
        <v>493</v>
      </c>
      <c r="E111" s="118" t="s">
        <v>494</v>
      </c>
      <c r="F111" s="118" t="s">
        <v>520</v>
      </c>
      <c r="G111" s="118" t="s">
        <v>113</v>
      </c>
      <c r="H111" s="118" t="s">
        <v>511</v>
      </c>
      <c r="I111" s="118" t="s">
        <v>53</v>
      </c>
      <c r="J111" s="288" t="s">
        <v>521</v>
      </c>
      <c r="K111" s="208" t="s">
        <v>522</v>
      </c>
      <c r="L111" s="290" t="s">
        <v>523</v>
      </c>
      <c r="M111" s="215"/>
      <c r="N111" s="246" t="s">
        <v>524</v>
      </c>
      <c r="O111" s="147" t="e">
        <v>#N/A</v>
      </c>
    </row>
    <row r="112" spans="1:15" ht="43.5">
      <c r="A112" s="423"/>
      <c r="B112" s="139">
        <v>127</v>
      </c>
      <c r="C112" s="189" t="s">
        <v>31</v>
      </c>
      <c r="D112" s="93" t="s">
        <v>493</v>
      </c>
      <c r="E112" s="93" t="s">
        <v>494</v>
      </c>
      <c r="F112" s="93" t="s">
        <v>525</v>
      </c>
      <c r="G112" s="93" t="s">
        <v>526</v>
      </c>
      <c r="H112" s="93" t="s">
        <v>511</v>
      </c>
      <c r="I112" s="93" t="s">
        <v>53</v>
      </c>
      <c r="J112" s="302" t="s">
        <v>521</v>
      </c>
      <c r="K112" s="193" t="s">
        <v>522</v>
      </c>
      <c r="L112" s="215"/>
      <c r="M112" s="215" t="s">
        <v>175</v>
      </c>
      <c r="N112" s="232" t="s">
        <v>114</v>
      </c>
      <c r="O112" s="147" t="e">
        <v>#N/A</v>
      </c>
    </row>
    <row r="113" spans="1:15" ht="29">
      <c r="A113" s="423"/>
      <c r="B113" s="139">
        <v>32</v>
      </c>
      <c r="C113" s="190" t="s">
        <v>119</v>
      </c>
      <c r="D113" s="135" t="s">
        <v>527</v>
      </c>
      <c r="E113" s="135" t="s">
        <v>121</v>
      </c>
      <c r="F113" s="135" t="s">
        <v>528</v>
      </c>
      <c r="G113" s="135" t="s">
        <v>463</v>
      </c>
      <c r="H113" s="135" t="s">
        <v>123</v>
      </c>
      <c r="I113" s="135" t="s">
        <v>36</v>
      </c>
      <c r="J113" s="303" t="s">
        <v>124</v>
      </c>
      <c r="K113" s="578" t="s">
        <v>125</v>
      </c>
      <c r="L113" s="268" t="s">
        <v>75</v>
      </c>
      <c r="M113" s="586" t="s">
        <v>529</v>
      </c>
      <c r="N113" s="191" t="s">
        <v>465</v>
      </c>
      <c r="O113" s="147" t="e">
        <v>#N/A</v>
      </c>
    </row>
    <row r="114" spans="1:15" ht="29">
      <c r="A114" s="423"/>
      <c r="B114" s="139">
        <v>33</v>
      </c>
      <c r="C114" s="190" t="s">
        <v>119</v>
      </c>
      <c r="D114" s="135" t="s">
        <v>527</v>
      </c>
      <c r="E114" s="135" t="s">
        <v>121</v>
      </c>
      <c r="F114" s="135" t="s">
        <v>530</v>
      </c>
      <c r="G114" s="135" t="s">
        <v>97</v>
      </c>
      <c r="H114" s="135" t="s">
        <v>123</v>
      </c>
      <c r="I114" s="135" t="s">
        <v>36</v>
      </c>
      <c r="J114" s="303" t="s">
        <v>124</v>
      </c>
      <c r="K114" s="578" t="s">
        <v>125</v>
      </c>
      <c r="L114" s="268" t="s">
        <v>75</v>
      </c>
      <c r="M114" s="100" t="s">
        <v>531</v>
      </c>
      <c r="N114" s="134" t="s">
        <v>175</v>
      </c>
      <c r="O114" s="147" t="e">
        <v>#N/A</v>
      </c>
    </row>
    <row r="115" spans="1:15" ht="29">
      <c r="A115" s="423"/>
      <c r="B115" s="139">
        <v>86</v>
      </c>
      <c r="C115" s="190" t="s">
        <v>532</v>
      </c>
      <c r="D115" s="135" t="s">
        <v>533</v>
      </c>
      <c r="E115" s="135">
        <v>70100</v>
      </c>
      <c r="F115" s="135" t="s">
        <v>534</v>
      </c>
      <c r="G115" s="135" t="s">
        <v>34</v>
      </c>
      <c r="H115" s="135" t="s">
        <v>535</v>
      </c>
      <c r="I115" s="135" t="s">
        <v>36</v>
      </c>
      <c r="J115" s="269" t="s">
        <v>536</v>
      </c>
      <c r="K115" s="199" t="s">
        <v>537</v>
      </c>
      <c r="L115" s="275" t="s">
        <v>538</v>
      </c>
      <c r="M115" s="100" t="s">
        <v>539</v>
      </c>
      <c r="N115" s="220" t="s">
        <v>104</v>
      </c>
      <c r="O115" s="147" t="e">
        <v>#N/A</v>
      </c>
    </row>
    <row r="116" spans="1:15" ht="29">
      <c r="A116" s="423"/>
      <c r="B116" s="139">
        <v>87</v>
      </c>
      <c r="C116" s="190" t="s">
        <v>532</v>
      </c>
      <c r="D116" s="135" t="s">
        <v>533</v>
      </c>
      <c r="E116" s="135">
        <v>70100</v>
      </c>
      <c r="F116" s="135" t="s">
        <v>540</v>
      </c>
      <c r="G116" s="135" t="s">
        <v>101</v>
      </c>
      <c r="H116" s="186" t="s">
        <v>541</v>
      </c>
      <c r="I116" s="135" t="s">
        <v>36</v>
      </c>
      <c r="J116" s="268" t="s">
        <v>542</v>
      </c>
      <c r="K116" s="205" t="s">
        <v>543</v>
      </c>
      <c r="L116" s="268" t="s">
        <v>538</v>
      </c>
      <c r="M116" s="100" t="s">
        <v>544</v>
      </c>
      <c r="N116" s="220" t="s">
        <v>104</v>
      </c>
      <c r="O116" s="147" t="e">
        <v>#N/A</v>
      </c>
    </row>
    <row r="117" spans="1:15" ht="29">
      <c r="A117" s="423"/>
      <c r="B117" s="139">
        <v>88</v>
      </c>
      <c r="C117" s="190" t="s">
        <v>532</v>
      </c>
      <c r="D117" s="135" t="s">
        <v>533</v>
      </c>
      <c r="E117" s="135">
        <v>70100</v>
      </c>
      <c r="F117" s="135" t="s">
        <v>545</v>
      </c>
      <c r="G117" s="135" t="s">
        <v>101</v>
      </c>
      <c r="H117" s="135" t="s">
        <v>546</v>
      </c>
      <c r="I117" s="135" t="s">
        <v>36</v>
      </c>
      <c r="J117" s="268" t="s">
        <v>547</v>
      </c>
      <c r="K117" s="205" t="s">
        <v>537</v>
      </c>
      <c r="L117" s="268" t="s">
        <v>548</v>
      </c>
      <c r="M117" s="248" t="s">
        <v>549</v>
      </c>
      <c r="N117" s="248" t="s">
        <v>104</v>
      </c>
      <c r="O117" s="147" t="e">
        <v>#N/A</v>
      </c>
    </row>
    <row r="118" spans="1:15" ht="29">
      <c r="A118" s="423"/>
      <c r="B118" s="139">
        <v>89</v>
      </c>
      <c r="C118" s="422" t="s">
        <v>532</v>
      </c>
      <c r="D118" s="251" t="s">
        <v>550</v>
      </c>
      <c r="E118" s="251">
        <v>70100</v>
      </c>
      <c r="F118" s="251" t="s">
        <v>551</v>
      </c>
      <c r="G118" s="251" t="s">
        <v>78</v>
      </c>
      <c r="H118" s="250" t="s">
        <v>535</v>
      </c>
      <c r="I118" s="251" t="s">
        <v>36</v>
      </c>
      <c r="J118" s="261" t="s">
        <v>547</v>
      </c>
      <c r="K118" s="254" t="s">
        <v>552</v>
      </c>
      <c r="L118" s="261" t="s">
        <v>538</v>
      </c>
      <c r="M118" s="255" t="s">
        <v>553</v>
      </c>
      <c r="N118" s="255" t="s">
        <v>554</v>
      </c>
      <c r="O118" s="147" t="e">
        <v>#N/A</v>
      </c>
    </row>
    <row r="119" spans="1:15" ht="29">
      <c r="A119" s="423"/>
      <c r="B119" s="139">
        <v>90</v>
      </c>
      <c r="C119" s="480" t="s">
        <v>532</v>
      </c>
      <c r="D119" s="96" t="s">
        <v>555</v>
      </c>
      <c r="E119" s="96">
        <v>70400</v>
      </c>
      <c r="F119" s="96" t="s">
        <v>556</v>
      </c>
      <c r="G119" s="135" t="s">
        <v>34</v>
      </c>
      <c r="H119" s="135" t="s">
        <v>189</v>
      </c>
      <c r="I119" s="135" t="s">
        <v>36</v>
      </c>
      <c r="J119" s="268" t="s">
        <v>220</v>
      </c>
      <c r="K119" s="100" t="s">
        <v>557</v>
      </c>
      <c r="L119" s="97" t="s">
        <v>192</v>
      </c>
      <c r="M119" s="100" t="s">
        <v>558</v>
      </c>
      <c r="N119" s="134" t="s">
        <v>56</v>
      </c>
      <c r="O119" s="147" t="s">
        <v>161</v>
      </c>
    </row>
    <row r="120" spans="1:15" ht="29">
      <c r="A120" s="423"/>
      <c r="B120" s="139">
        <v>91</v>
      </c>
      <c r="C120" s="465" t="s">
        <v>532</v>
      </c>
      <c r="D120" s="122" t="s">
        <v>555</v>
      </c>
      <c r="E120" s="122">
        <v>70400</v>
      </c>
      <c r="F120" s="122" t="s">
        <v>559</v>
      </c>
      <c r="G120" s="122" t="s">
        <v>7</v>
      </c>
      <c r="H120" s="122" t="s">
        <v>156</v>
      </c>
      <c r="I120" s="122" t="s">
        <v>36</v>
      </c>
      <c r="J120" s="265" t="s">
        <v>157</v>
      </c>
      <c r="K120" s="206" t="s">
        <v>560</v>
      </c>
      <c r="L120" s="264" t="s">
        <v>159</v>
      </c>
      <c r="M120" s="206" t="s">
        <v>196</v>
      </c>
      <c r="N120" s="123" t="s">
        <v>197</v>
      </c>
      <c r="O120" s="147" t="s">
        <v>161</v>
      </c>
    </row>
    <row r="121" spans="1:15">
      <c r="A121" s="423"/>
      <c r="B121" s="139">
        <v>150</v>
      </c>
      <c r="C121" s="190" t="s">
        <v>357</v>
      </c>
      <c r="D121" s="135" t="s">
        <v>561</v>
      </c>
      <c r="E121" s="135">
        <v>58160</v>
      </c>
      <c r="F121" s="135" t="s">
        <v>562</v>
      </c>
      <c r="G121" s="135" t="s">
        <v>101</v>
      </c>
      <c r="H121" s="135" t="s">
        <v>563</v>
      </c>
      <c r="I121" s="135" t="s">
        <v>36</v>
      </c>
      <c r="J121" s="272" t="s">
        <v>367</v>
      </c>
      <c r="K121" s="211" t="s">
        <v>368</v>
      </c>
      <c r="L121" s="273" t="s">
        <v>56</v>
      </c>
      <c r="M121" s="186" t="s">
        <v>564</v>
      </c>
      <c r="N121" s="191" t="s">
        <v>104</v>
      </c>
      <c r="O121" s="147" t="e">
        <v>#N/A</v>
      </c>
    </row>
    <row r="122" spans="1:15" ht="29">
      <c r="A122" s="423"/>
      <c r="B122" s="139">
        <v>35</v>
      </c>
      <c r="C122" s="190" t="s">
        <v>119</v>
      </c>
      <c r="D122" s="135" t="s">
        <v>565</v>
      </c>
      <c r="E122" s="135">
        <v>21120</v>
      </c>
      <c r="F122" s="135" t="s">
        <v>566</v>
      </c>
      <c r="G122" s="135" t="s">
        <v>34</v>
      </c>
      <c r="H122" s="135" t="s">
        <v>171</v>
      </c>
      <c r="I122" s="135" t="s">
        <v>36</v>
      </c>
      <c r="J122" s="268" t="s">
        <v>567</v>
      </c>
      <c r="K122" s="205">
        <v>811466280</v>
      </c>
      <c r="L122" s="66" t="s">
        <v>56</v>
      </c>
      <c r="M122" s="100" t="s">
        <v>568</v>
      </c>
      <c r="N122" s="417" t="s">
        <v>569</v>
      </c>
      <c r="O122" s="147" t="e">
        <v>#N/A</v>
      </c>
    </row>
    <row r="123" spans="1:15" ht="58">
      <c r="B123" s="139">
        <v>226</v>
      </c>
      <c r="C123" s="389" t="s">
        <v>68</v>
      </c>
      <c r="D123" s="104" t="s">
        <v>570</v>
      </c>
      <c r="E123" s="104" t="s">
        <v>571</v>
      </c>
      <c r="F123" s="104" t="s">
        <v>572</v>
      </c>
      <c r="G123" s="104" t="s">
        <v>7</v>
      </c>
      <c r="H123" s="104" t="s">
        <v>573</v>
      </c>
      <c r="I123" s="104" t="s">
        <v>53</v>
      </c>
      <c r="J123" s="265" t="s">
        <v>574</v>
      </c>
      <c r="K123" s="203" t="s">
        <v>575</v>
      </c>
      <c r="L123" s="267" t="s">
        <v>56</v>
      </c>
      <c r="M123" s="206" t="s">
        <v>576</v>
      </c>
      <c r="N123" s="123" t="s">
        <v>58</v>
      </c>
      <c r="O123" s="147" t="e">
        <v>#N/A</v>
      </c>
    </row>
    <row r="124" spans="1:15" ht="43.5">
      <c r="B124" s="139">
        <v>227</v>
      </c>
      <c r="C124" s="333" t="s">
        <v>68</v>
      </c>
      <c r="D124" s="119" t="s">
        <v>570</v>
      </c>
      <c r="E124" s="119" t="s">
        <v>571</v>
      </c>
      <c r="F124" s="121" t="s">
        <v>577</v>
      </c>
      <c r="G124" s="121" t="s">
        <v>60</v>
      </c>
      <c r="H124" s="119" t="s">
        <v>578</v>
      </c>
      <c r="I124" s="119" t="s">
        <v>53</v>
      </c>
      <c r="J124" s="276" t="s">
        <v>574</v>
      </c>
      <c r="K124" s="178" t="s">
        <v>579</v>
      </c>
      <c r="L124" s="267" t="s">
        <v>56</v>
      </c>
      <c r="M124" s="215" t="s">
        <v>56</v>
      </c>
      <c r="N124" s="231" t="s">
        <v>580</v>
      </c>
      <c r="O124" s="147" t="e">
        <v>#N/A</v>
      </c>
    </row>
    <row r="125" spans="1:15" ht="43.5">
      <c r="B125" s="139">
        <v>228</v>
      </c>
      <c r="C125" s="189" t="s">
        <v>68</v>
      </c>
      <c r="D125" s="93" t="s">
        <v>570</v>
      </c>
      <c r="E125" s="93" t="s">
        <v>571</v>
      </c>
      <c r="F125" s="93" t="s">
        <v>581</v>
      </c>
      <c r="G125" s="93" t="s">
        <v>9</v>
      </c>
      <c r="H125" s="93" t="s">
        <v>578</v>
      </c>
      <c r="I125" s="93" t="s">
        <v>53</v>
      </c>
      <c r="J125" s="280" t="s">
        <v>574</v>
      </c>
      <c r="K125" s="193" t="s">
        <v>582</v>
      </c>
      <c r="L125" s="267" t="s">
        <v>56</v>
      </c>
      <c r="M125" s="215" t="s">
        <v>56</v>
      </c>
      <c r="N125" s="232" t="s">
        <v>583</v>
      </c>
      <c r="O125" s="147" t="e">
        <v>#N/A</v>
      </c>
    </row>
    <row r="126" spans="1:15" ht="29">
      <c r="B126" s="139">
        <v>92</v>
      </c>
      <c r="C126" s="190" t="s">
        <v>532</v>
      </c>
      <c r="D126" s="135" t="s">
        <v>584</v>
      </c>
      <c r="E126" s="135">
        <v>70500</v>
      </c>
      <c r="F126" s="135" t="s">
        <v>585</v>
      </c>
      <c r="G126" s="135" t="s">
        <v>101</v>
      </c>
      <c r="H126" s="135" t="s">
        <v>541</v>
      </c>
      <c r="I126" s="135" t="s">
        <v>36</v>
      </c>
      <c r="J126" s="268" t="s">
        <v>586</v>
      </c>
      <c r="K126" s="205" t="s">
        <v>587</v>
      </c>
      <c r="L126" s="268" t="s">
        <v>538</v>
      </c>
      <c r="M126" s="100" t="s">
        <v>588</v>
      </c>
      <c r="N126" s="220" t="s">
        <v>104</v>
      </c>
      <c r="O126" s="147" t="e">
        <v>#N/A</v>
      </c>
    </row>
    <row r="127" spans="1:15" ht="29">
      <c r="B127" s="139">
        <v>151</v>
      </c>
      <c r="C127" s="465" t="s">
        <v>357</v>
      </c>
      <c r="D127" s="122" t="s">
        <v>589</v>
      </c>
      <c r="E127" s="122">
        <v>58400</v>
      </c>
      <c r="F127" s="122" t="s">
        <v>590</v>
      </c>
      <c r="G127" s="122" t="s">
        <v>7</v>
      </c>
      <c r="H127" s="122" t="s">
        <v>591</v>
      </c>
      <c r="I127" s="122" t="s">
        <v>53</v>
      </c>
      <c r="J127" s="265" t="s">
        <v>592</v>
      </c>
      <c r="K127" s="215"/>
      <c r="L127" s="215"/>
      <c r="M127" s="215"/>
      <c r="N127" s="134"/>
      <c r="O127" s="147" t="e">
        <v>#N/A</v>
      </c>
    </row>
    <row r="128" spans="1:15" ht="29">
      <c r="B128" s="139">
        <v>152</v>
      </c>
      <c r="C128" s="189" t="s">
        <v>357</v>
      </c>
      <c r="D128" s="93" t="s">
        <v>589</v>
      </c>
      <c r="E128" s="93">
        <v>58400</v>
      </c>
      <c r="F128" s="93" t="s">
        <v>590</v>
      </c>
      <c r="G128" s="93" t="s">
        <v>526</v>
      </c>
      <c r="H128" s="93" t="s">
        <v>591</v>
      </c>
      <c r="I128" s="93" t="s">
        <v>53</v>
      </c>
      <c r="J128" s="280" t="s">
        <v>592</v>
      </c>
      <c r="K128" s="215"/>
      <c r="L128" s="215"/>
      <c r="M128" s="215"/>
      <c r="N128" s="216"/>
      <c r="O128" s="147" t="e">
        <v>#N/A</v>
      </c>
    </row>
    <row r="129" spans="2:15" ht="29">
      <c r="B129" s="139">
        <v>170</v>
      </c>
      <c r="C129" s="190" t="s">
        <v>42</v>
      </c>
      <c r="D129" s="135" t="s">
        <v>593</v>
      </c>
      <c r="E129" s="135">
        <v>71200</v>
      </c>
      <c r="F129" s="135" t="s">
        <v>594</v>
      </c>
      <c r="G129" s="135" t="s">
        <v>34</v>
      </c>
      <c r="H129" s="135" t="s">
        <v>45</v>
      </c>
      <c r="I129" s="135" t="s">
        <v>36</v>
      </c>
      <c r="J129" s="268" t="s">
        <v>595</v>
      </c>
      <c r="K129" s="205" t="s">
        <v>596</v>
      </c>
      <c r="L129" s="66" t="s">
        <v>56</v>
      </c>
      <c r="M129" s="100" t="s">
        <v>597</v>
      </c>
      <c r="N129" s="220" t="s">
        <v>598</v>
      </c>
      <c r="O129" s="147" t="e">
        <v>#N/A</v>
      </c>
    </row>
    <row r="130" spans="2:15" ht="29">
      <c r="B130" s="139">
        <v>171</v>
      </c>
      <c r="C130" s="389" t="s">
        <v>42</v>
      </c>
      <c r="D130" s="104" t="s">
        <v>593</v>
      </c>
      <c r="E130" s="104" t="s">
        <v>599</v>
      </c>
      <c r="F130" s="104" t="s">
        <v>600</v>
      </c>
      <c r="G130" s="104" t="s">
        <v>7</v>
      </c>
      <c r="H130" s="104" t="s">
        <v>601</v>
      </c>
      <c r="I130" s="104" t="s">
        <v>36</v>
      </c>
      <c r="J130" s="265" t="s">
        <v>602</v>
      </c>
      <c r="K130" s="203" t="s">
        <v>603</v>
      </c>
      <c r="L130" s="265" t="s">
        <v>604</v>
      </c>
      <c r="M130" s="206" t="s">
        <v>605</v>
      </c>
      <c r="N130" s="123" t="s">
        <v>58</v>
      </c>
      <c r="O130" s="147" t="e">
        <v>#N/A</v>
      </c>
    </row>
    <row r="131" spans="2:15" ht="29">
      <c r="B131" s="139">
        <v>172</v>
      </c>
      <c r="C131" s="333" t="s">
        <v>42</v>
      </c>
      <c r="D131" s="119" t="s">
        <v>593</v>
      </c>
      <c r="E131" s="119" t="s">
        <v>599</v>
      </c>
      <c r="F131" s="121" t="s">
        <v>600</v>
      </c>
      <c r="G131" s="121" t="s">
        <v>60</v>
      </c>
      <c r="H131" s="119" t="s">
        <v>601</v>
      </c>
      <c r="I131" s="119" t="s">
        <v>36</v>
      </c>
      <c r="J131" s="276" t="s">
        <v>602</v>
      </c>
      <c r="K131" s="178" t="s">
        <v>606</v>
      </c>
      <c r="L131" s="276" t="s">
        <v>604</v>
      </c>
      <c r="M131" s="194" t="s">
        <v>607</v>
      </c>
      <c r="N131" s="231" t="s">
        <v>608</v>
      </c>
      <c r="O131" s="147" t="e">
        <v>#N/A</v>
      </c>
    </row>
    <row r="132" spans="2:15" ht="29">
      <c r="B132" s="139">
        <v>63</v>
      </c>
      <c r="C132" s="190" t="s">
        <v>145</v>
      </c>
      <c r="D132" s="135" t="s">
        <v>609</v>
      </c>
      <c r="E132" s="135">
        <v>25250</v>
      </c>
      <c r="F132" s="135" t="s">
        <v>610</v>
      </c>
      <c r="G132" s="135" t="s">
        <v>101</v>
      </c>
      <c r="H132" s="135" t="s">
        <v>415</v>
      </c>
      <c r="I132" s="135" t="s">
        <v>36</v>
      </c>
      <c r="J132" s="268" t="s">
        <v>611</v>
      </c>
      <c r="K132" s="205" t="s">
        <v>612</v>
      </c>
      <c r="L132" s="268" t="s">
        <v>192</v>
      </c>
      <c r="M132" s="100" t="s">
        <v>613</v>
      </c>
      <c r="N132" s="220" t="s">
        <v>104</v>
      </c>
      <c r="O132" s="147" t="e">
        <v>#N/A</v>
      </c>
    </row>
    <row r="133" spans="2:15" ht="29">
      <c r="B133" s="139">
        <v>64</v>
      </c>
      <c r="C133" s="190" t="s">
        <v>145</v>
      </c>
      <c r="D133" s="135" t="s">
        <v>609</v>
      </c>
      <c r="E133" s="135">
        <v>25250</v>
      </c>
      <c r="F133" s="135" t="s">
        <v>614</v>
      </c>
      <c r="G133" s="135" t="s">
        <v>101</v>
      </c>
      <c r="H133" s="135" t="s">
        <v>615</v>
      </c>
      <c r="I133" s="135" t="s">
        <v>36</v>
      </c>
      <c r="J133" s="268" t="s">
        <v>259</v>
      </c>
      <c r="K133" s="205" t="s">
        <v>616</v>
      </c>
      <c r="L133" s="274" t="s">
        <v>56</v>
      </c>
      <c r="M133" s="100" t="s">
        <v>617</v>
      </c>
      <c r="N133" s="220" t="s">
        <v>104</v>
      </c>
      <c r="O133" s="147" t="e">
        <v>#N/A</v>
      </c>
    </row>
    <row r="134" spans="2:15" ht="29">
      <c r="B134" s="139">
        <v>259</v>
      </c>
      <c r="C134" s="190" t="s">
        <v>119</v>
      </c>
      <c r="D134" s="135" t="s">
        <v>618</v>
      </c>
      <c r="E134" s="135">
        <v>21600</v>
      </c>
      <c r="F134" s="135" t="s">
        <v>619</v>
      </c>
      <c r="G134" s="135" t="s">
        <v>101</v>
      </c>
      <c r="H134" s="135" t="s">
        <v>135</v>
      </c>
      <c r="I134" s="135" t="s">
        <v>36</v>
      </c>
      <c r="J134" s="97" t="s">
        <v>124</v>
      </c>
      <c r="K134" s="205" t="s">
        <v>125</v>
      </c>
      <c r="L134" s="268" t="s">
        <v>75</v>
      </c>
      <c r="M134" s="205" t="s">
        <v>620</v>
      </c>
      <c r="N134" s="205"/>
      <c r="O134" s="147"/>
    </row>
    <row r="135" spans="2:15" ht="130.5">
      <c r="B135" s="139">
        <v>128</v>
      </c>
      <c r="C135" s="466" t="s">
        <v>31</v>
      </c>
      <c r="D135" s="171" t="s">
        <v>621</v>
      </c>
      <c r="E135" s="171" t="s">
        <v>622</v>
      </c>
      <c r="F135" s="171" t="s">
        <v>623</v>
      </c>
      <c r="G135" s="171" t="s">
        <v>429</v>
      </c>
      <c r="H135" s="171" t="s">
        <v>624</v>
      </c>
      <c r="I135" s="171" t="s">
        <v>36</v>
      </c>
      <c r="J135" s="298" t="s">
        <v>625</v>
      </c>
      <c r="K135" s="210" t="s">
        <v>626</v>
      </c>
      <c r="L135" s="492" t="s">
        <v>627</v>
      </c>
      <c r="M135" s="221" t="s">
        <v>628</v>
      </c>
      <c r="N135" s="233" t="s">
        <v>629</v>
      </c>
      <c r="O135" s="147" t="e">
        <v>#N/A</v>
      </c>
    </row>
    <row r="136" spans="2:15" ht="58">
      <c r="B136" s="139">
        <v>129</v>
      </c>
      <c r="C136" s="422" t="s">
        <v>31</v>
      </c>
      <c r="D136" s="250" t="s">
        <v>621</v>
      </c>
      <c r="E136" s="250" t="s">
        <v>622</v>
      </c>
      <c r="F136" s="250" t="s">
        <v>630</v>
      </c>
      <c r="G136" s="250" t="s">
        <v>78</v>
      </c>
      <c r="H136" s="250" t="s">
        <v>35</v>
      </c>
      <c r="I136" s="250" t="s">
        <v>36</v>
      </c>
      <c r="J136" s="261" t="s">
        <v>631</v>
      </c>
      <c r="K136" s="254" t="s">
        <v>632</v>
      </c>
      <c r="L136" s="486" t="s">
        <v>39</v>
      </c>
      <c r="M136" s="253" t="s">
        <v>633</v>
      </c>
      <c r="N136" s="258" t="s">
        <v>634</v>
      </c>
      <c r="O136" s="147" t="e">
        <v>#N/A</v>
      </c>
    </row>
    <row r="137" spans="2:15" ht="43.5">
      <c r="B137" s="139">
        <v>130</v>
      </c>
      <c r="C137" s="389" t="s">
        <v>31</v>
      </c>
      <c r="D137" s="104" t="s">
        <v>621</v>
      </c>
      <c r="E137" s="104" t="s">
        <v>622</v>
      </c>
      <c r="F137" s="104" t="s">
        <v>635</v>
      </c>
      <c r="G137" s="104" t="s">
        <v>7</v>
      </c>
      <c r="H137" s="104" t="s">
        <v>636</v>
      </c>
      <c r="I137" s="104" t="s">
        <v>53</v>
      </c>
      <c r="J137" s="265" t="s">
        <v>637</v>
      </c>
      <c r="K137" s="203" t="s">
        <v>638</v>
      </c>
      <c r="L137" s="265" t="s">
        <v>639</v>
      </c>
      <c r="M137" s="206" t="s">
        <v>640</v>
      </c>
      <c r="N137" s="123" t="s">
        <v>58</v>
      </c>
      <c r="O137" s="147" t="e">
        <v>#N/A</v>
      </c>
    </row>
    <row r="138" spans="2:15" ht="72.5">
      <c r="B138" s="139">
        <v>131</v>
      </c>
      <c r="C138" s="190" t="s">
        <v>31</v>
      </c>
      <c r="D138" s="135" t="s">
        <v>621</v>
      </c>
      <c r="E138" s="135" t="s">
        <v>622</v>
      </c>
      <c r="F138" s="135" t="s">
        <v>641</v>
      </c>
      <c r="G138" s="135" t="s">
        <v>97</v>
      </c>
      <c r="H138" s="135" t="s">
        <v>35</v>
      </c>
      <c r="I138" s="135" t="s">
        <v>36</v>
      </c>
      <c r="J138" s="97" t="s">
        <v>394</v>
      </c>
      <c r="K138" s="205" t="s">
        <v>632</v>
      </c>
      <c r="L138" s="268" t="s">
        <v>395</v>
      </c>
      <c r="M138" s="100" t="s">
        <v>642</v>
      </c>
      <c r="N138" s="243" t="s">
        <v>643</v>
      </c>
      <c r="O138" s="147" t="e">
        <v>#N/A</v>
      </c>
    </row>
    <row r="139" spans="2:15" ht="87">
      <c r="B139" s="139">
        <v>132</v>
      </c>
      <c r="C139" s="190" t="s">
        <v>31</v>
      </c>
      <c r="D139" s="135" t="s">
        <v>621</v>
      </c>
      <c r="E139" s="135" t="s">
        <v>622</v>
      </c>
      <c r="F139" s="135" t="s">
        <v>644</v>
      </c>
      <c r="G139" s="135" t="s">
        <v>97</v>
      </c>
      <c r="H139" s="135" t="s">
        <v>645</v>
      </c>
      <c r="I139" s="135" t="s">
        <v>36</v>
      </c>
      <c r="J139" s="268" t="s">
        <v>625</v>
      </c>
      <c r="K139" s="205" t="s">
        <v>626</v>
      </c>
      <c r="L139" s="268" t="s">
        <v>627</v>
      </c>
      <c r="M139" s="100" t="s">
        <v>646</v>
      </c>
      <c r="N139" s="243" t="s">
        <v>647</v>
      </c>
      <c r="O139" s="147" t="e">
        <v>#N/A</v>
      </c>
    </row>
    <row r="140" spans="2:15" ht="30.65" customHeight="1">
      <c r="B140" s="139">
        <v>133</v>
      </c>
      <c r="C140" s="333" t="s">
        <v>31</v>
      </c>
      <c r="D140" s="119" t="s">
        <v>621</v>
      </c>
      <c r="E140" s="119" t="s">
        <v>622</v>
      </c>
      <c r="F140" s="119" t="s">
        <v>648</v>
      </c>
      <c r="G140" s="121" t="s">
        <v>60</v>
      </c>
      <c r="H140" s="119" t="s">
        <v>636</v>
      </c>
      <c r="I140" s="119" t="s">
        <v>53</v>
      </c>
      <c r="J140" s="276" t="s">
        <v>637</v>
      </c>
      <c r="K140" s="178" t="s">
        <v>638</v>
      </c>
      <c r="L140" s="276" t="s">
        <v>639</v>
      </c>
      <c r="M140" s="215" t="s">
        <v>41</v>
      </c>
      <c r="N140" s="231" t="s">
        <v>649</v>
      </c>
      <c r="O140" s="147" t="e">
        <v>#N/A</v>
      </c>
    </row>
    <row r="141" spans="2:15" ht="58">
      <c r="B141" s="139">
        <v>253</v>
      </c>
      <c r="C141" s="480" t="s">
        <v>31</v>
      </c>
      <c r="D141" s="96" t="s">
        <v>621</v>
      </c>
      <c r="E141" s="96">
        <v>39000</v>
      </c>
      <c r="F141" s="96" t="s">
        <v>650</v>
      </c>
      <c r="G141" s="96" t="s">
        <v>651</v>
      </c>
      <c r="H141" s="96" t="s">
        <v>652</v>
      </c>
      <c r="I141" s="96" t="s">
        <v>258</v>
      </c>
      <c r="J141" s="268" t="s">
        <v>625</v>
      </c>
      <c r="K141" s="100" t="s">
        <v>653</v>
      </c>
      <c r="L141" s="97" t="s">
        <v>654</v>
      </c>
      <c r="M141" s="100" t="s">
        <v>655</v>
      </c>
      <c r="N141" s="595" t="s">
        <v>656</v>
      </c>
      <c r="O141" s="147"/>
    </row>
    <row r="142" spans="2:15" ht="30.65" customHeight="1">
      <c r="B142" s="139">
        <v>254</v>
      </c>
      <c r="C142" s="479" t="s">
        <v>31</v>
      </c>
      <c r="D142" s="250" t="s">
        <v>621</v>
      </c>
      <c r="E142" s="250" t="s">
        <v>622</v>
      </c>
      <c r="F142" s="250" t="s">
        <v>657</v>
      </c>
      <c r="G142" s="250" t="s">
        <v>78</v>
      </c>
      <c r="H142" s="250" t="s">
        <v>645</v>
      </c>
      <c r="I142" s="250" t="s">
        <v>36</v>
      </c>
      <c r="J142" s="261" t="s">
        <v>625</v>
      </c>
      <c r="K142" s="254" t="s">
        <v>626</v>
      </c>
      <c r="L142" s="261" t="s">
        <v>627</v>
      </c>
      <c r="M142" s="253" t="s">
        <v>658</v>
      </c>
      <c r="N142" s="258" t="s">
        <v>659</v>
      </c>
      <c r="O142" s="147"/>
    </row>
    <row r="143" spans="2:15" ht="29">
      <c r="B143" s="139">
        <v>174</v>
      </c>
      <c r="C143" s="190" t="s">
        <v>42</v>
      </c>
      <c r="D143" s="135" t="s">
        <v>660</v>
      </c>
      <c r="E143" s="135" t="s">
        <v>320</v>
      </c>
      <c r="F143" s="135" t="s">
        <v>661</v>
      </c>
      <c r="G143" s="135" t="s">
        <v>34</v>
      </c>
      <c r="H143" s="135" t="s">
        <v>328</v>
      </c>
      <c r="I143" s="135" t="s">
        <v>36</v>
      </c>
      <c r="J143" s="268" t="s">
        <v>311</v>
      </c>
      <c r="K143" s="205" t="s">
        <v>329</v>
      </c>
      <c r="L143" s="66" t="s">
        <v>41</v>
      </c>
      <c r="M143" s="100" t="s">
        <v>662</v>
      </c>
      <c r="N143" s="134" t="s">
        <v>41</v>
      </c>
      <c r="O143" s="147" t="e">
        <v>#N/A</v>
      </c>
    </row>
    <row r="144" spans="2:15" ht="29">
      <c r="B144" s="139">
        <v>93</v>
      </c>
      <c r="C144" s="389" t="s">
        <v>532</v>
      </c>
      <c r="D144" s="104" t="s">
        <v>663</v>
      </c>
      <c r="E144" s="104">
        <v>70200</v>
      </c>
      <c r="F144" s="104" t="s">
        <v>664</v>
      </c>
      <c r="G144" s="104" t="s">
        <v>665</v>
      </c>
      <c r="H144" s="104" t="s">
        <v>666</v>
      </c>
      <c r="I144" s="104" t="s">
        <v>53</v>
      </c>
      <c r="J144" s="265" t="s">
        <v>667</v>
      </c>
      <c r="K144" s="203" t="s">
        <v>668</v>
      </c>
      <c r="L144" s="265" t="s">
        <v>669</v>
      </c>
      <c r="M144" s="206" t="s">
        <v>670</v>
      </c>
      <c r="N144" s="122" t="s">
        <v>671</v>
      </c>
      <c r="O144" s="147" t="e">
        <v>#N/A</v>
      </c>
    </row>
    <row r="145" spans="1:15" ht="29">
      <c r="B145" s="139">
        <v>94</v>
      </c>
      <c r="C145" s="190" t="s">
        <v>532</v>
      </c>
      <c r="D145" s="135" t="s">
        <v>663</v>
      </c>
      <c r="E145" s="135">
        <v>70200</v>
      </c>
      <c r="F145" s="135" t="s">
        <v>672</v>
      </c>
      <c r="G145" s="135" t="s">
        <v>101</v>
      </c>
      <c r="H145" s="135" t="s">
        <v>541</v>
      </c>
      <c r="I145" s="135" t="s">
        <v>36</v>
      </c>
      <c r="J145" s="268" t="s">
        <v>586</v>
      </c>
      <c r="K145" s="205" t="s">
        <v>587</v>
      </c>
      <c r="L145" s="268" t="s">
        <v>538</v>
      </c>
      <c r="M145" s="100" t="s">
        <v>673</v>
      </c>
      <c r="N145" s="96" t="s">
        <v>104</v>
      </c>
      <c r="O145" s="147" t="e">
        <v>#N/A</v>
      </c>
    </row>
    <row r="146" spans="1:15" ht="29">
      <c r="B146" s="139">
        <v>95</v>
      </c>
      <c r="C146" s="190" t="s">
        <v>532</v>
      </c>
      <c r="D146" s="135" t="s">
        <v>663</v>
      </c>
      <c r="E146" s="135">
        <v>70200</v>
      </c>
      <c r="F146" s="135" t="s">
        <v>674</v>
      </c>
      <c r="G146" s="135" t="s">
        <v>101</v>
      </c>
      <c r="H146" s="135" t="s">
        <v>675</v>
      </c>
      <c r="I146" s="135" t="s">
        <v>36</v>
      </c>
      <c r="J146" s="268" t="s">
        <v>676</v>
      </c>
      <c r="K146" s="205" t="s">
        <v>677</v>
      </c>
      <c r="L146" s="268" t="s">
        <v>75</v>
      </c>
      <c r="M146" s="100" t="s">
        <v>678</v>
      </c>
      <c r="N146" s="96" t="s">
        <v>104</v>
      </c>
      <c r="O146" s="147" t="e">
        <v>#N/A</v>
      </c>
    </row>
    <row r="147" spans="1:15" ht="29">
      <c r="B147" s="139">
        <v>96</v>
      </c>
      <c r="C147" s="190" t="s">
        <v>532</v>
      </c>
      <c r="D147" s="135" t="s">
        <v>679</v>
      </c>
      <c r="E147" s="135">
        <v>70300</v>
      </c>
      <c r="F147" s="135" t="s">
        <v>680</v>
      </c>
      <c r="G147" s="135" t="s">
        <v>34</v>
      </c>
      <c r="H147" s="135" t="s">
        <v>535</v>
      </c>
      <c r="I147" s="135" t="s">
        <v>36</v>
      </c>
      <c r="J147" s="268" t="s">
        <v>681</v>
      </c>
      <c r="K147" s="199" t="s">
        <v>587</v>
      </c>
      <c r="L147" s="495" t="s">
        <v>538</v>
      </c>
      <c r="M147" s="100" t="s">
        <v>682</v>
      </c>
      <c r="N147" s="216" t="s">
        <v>41</v>
      </c>
      <c r="O147" s="147" t="e">
        <v>#N/A</v>
      </c>
    </row>
    <row r="148" spans="1:15" ht="29">
      <c r="B148" s="139">
        <v>97</v>
      </c>
      <c r="C148" s="389" t="s">
        <v>532</v>
      </c>
      <c r="D148" s="104" t="s">
        <v>679</v>
      </c>
      <c r="E148" s="104">
        <v>70300</v>
      </c>
      <c r="F148" s="104" t="s">
        <v>683</v>
      </c>
      <c r="G148" s="104" t="s">
        <v>665</v>
      </c>
      <c r="H148" s="104" t="s">
        <v>666</v>
      </c>
      <c r="I148" s="104" t="s">
        <v>53</v>
      </c>
      <c r="J148" s="265" t="s">
        <v>667</v>
      </c>
      <c r="K148" s="203" t="s">
        <v>668</v>
      </c>
      <c r="L148" s="265" t="s">
        <v>669</v>
      </c>
      <c r="M148" s="206" t="s">
        <v>684</v>
      </c>
      <c r="N148" s="123" t="s">
        <v>671</v>
      </c>
      <c r="O148" s="147" t="e">
        <v>#N/A</v>
      </c>
    </row>
    <row r="149" spans="1:15" ht="29">
      <c r="B149" s="139">
        <v>98</v>
      </c>
      <c r="C149" s="190" t="s">
        <v>532</v>
      </c>
      <c r="D149" s="135" t="s">
        <v>679</v>
      </c>
      <c r="E149" s="135">
        <v>70300</v>
      </c>
      <c r="F149" s="135" t="s">
        <v>685</v>
      </c>
      <c r="G149" s="135" t="s">
        <v>101</v>
      </c>
      <c r="H149" s="135" t="s">
        <v>541</v>
      </c>
      <c r="I149" s="135" t="s">
        <v>36</v>
      </c>
      <c r="J149" s="268" t="s">
        <v>542</v>
      </c>
      <c r="K149" s="580" t="s">
        <v>686</v>
      </c>
      <c r="L149" s="269" t="s">
        <v>538</v>
      </c>
      <c r="M149" s="100" t="s">
        <v>687</v>
      </c>
      <c r="N149" s="220" t="s">
        <v>104</v>
      </c>
      <c r="O149" s="147" t="e">
        <v>#N/A</v>
      </c>
    </row>
    <row r="150" spans="1:15" s="125" customFormat="1" ht="43.5">
      <c r="A150" s="124"/>
      <c r="B150" s="139">
        <v>99</v>
      </c>
      <c r="C150" s="190" t="s">
        <v>532</v>
      </c>
      <c r="D150" s="186" t="s">
        <v>679</v>
      </c>
      <c r="E150" s="186">
        <v>70300</v>
      </c>
      <c r="F150" s="135" t="s">
        <v>688</v>
      </c>
      <c r="G150" s="135" t="s">
        <v>101</v>
      </c>
      <c r="H150" s="522" t="s">
        <v>689</v>
      </c>
      <c r="I150" s="186" t="s">
        <v>36</v>
      </c>
      <c r="J150" s="268" t="s">
        <v>586</v>
      </c>
      <c r="K150" s="205" t="s">
        <v>587</v>
      </c>
      <c r="L150" s="268" t="s">
        <v>538</v>
      </c>
      <c r="M150" s="100" t="s">
        <v>690</v>
      </c>
      <c r="N150" s="220" t="s">
        <v>104</v>
      </c>
      <c r="O150" s="147" t="e">
        <v>#N/A</v>
      </c>
    </row>
    <row r="151" spans="1:15" ht="29">
      <c r="B151" s="139">
        <v>100</v>
      </c>
      <c r="C151" s="422" t="s">
        <v>532</v>
      </c>
      <c r="D151" s="251" t="s">
        <v>691</v>
      </c>
      <c r="E151" s="251">
        <v>70300</v>
      </c>
      <c r="F151" s="251" t="s">
        <v>692</v>
      </c>
      <c r="G151" s="251" t="s">
        <v>78</v>
      </c>
      <c r="H151" s="251" t="s">
        <v>693</v>
      </c>
      <c r="I151" s="251" t="s">
        <v>36</v>
      </c>
      <c r="J151" s="261" t="s">
        <v>586</v>
      </c>
      <c r="K151" s="254" t="s">
        <v>587</v>
      </c>
      <c r="L151" s="274"/>
      <c r="M151" s="274"/>
      <c r="N151" s="255" t="s">
        <v>694</v>
      </c>
      <c r="O151" s="147" t="e">
        <v>#N/A</v>
      </c>
    </row>
    <row r="152" spans="1:15" ht="58">
      <c r="B152" s="139">
        <v>175</v>
      </c>
      <c r="C152" s="422" t="s">
        <v>42</v>
      </c>
      <c r="D152" s="250" t="s">
        <v>695</v>
      </c>
      <c r="E152" s="250" t="s">
        <v>696</v>
      </c>
      <c r="F152" s="250" t="s">
        <v>697</v>
      </c>
      <c r="G152" s="250" t="s">
        <v>78</v>
      </c>
      <c r="H152" s="250" t="s">
        <v>45</v>
      </c>
      <c r="I152" s="250" t="s">
        <v>36</v>
      </c>
      <c r="J152" s="486" t="s">
        <v>698</v>
      </c>
      <c r="K152" s="254" t="s">
        <v>699</v>
      </c>
      <c r="L152" s="261" t="s">
        <v>75</v>
      </c>
      <c r="M152" s="253" t="s">
        <v>700</v>
      </c>
      <c r="N152" s="258" t="s">
        <v>500</v>
      </c>
      <c r="O152" s="147" t="e">
        <v>#N/A</v>
      </c>
    </row>
    <row r="153" spans="1:15" ht="72.5">
      <c r="B153" s="139">
        <v>177</v>
      </c>
      <c r="C153" s="190" t="s">
        <v>42</v>
      </c>
      <c r="D153" s="135" t="s">
        <v>695</v>
      </c>
      <c r="E153" s="135" t="s">
        <v>696</v>
      </c>
      <c r="F153" s="135" t="s">
        <v>697</v>
      </c>
      <c r="G153" s="135" t="s">
        <v>97</v>
      </c>
      <c r="H153" s="135" t="s">
        <v>45</v>
      </c>
      <c r="I153" s="135" t="s">
        <v>36</v>
      </c>
      <c r="J153" s="97" t="s">
        <v>698</v>
      </c>
      <c r="K153" s="205" t="s">
        <v>699</v>
      </c>
      <c r="L153" s="268" t="s">
        <v>75</v>
      </c>
      <c r="M153" s="100" t="s">
        <v>701</v>
      </c>
      <c r="N153" s="243" t="s">
        <v>702</v>
      </c>
      <c r="O153" s="147" t="e">
        <v>#N/A</v>
      </c>
    </row>
    <row r="154" spans="1:15" ht="43.5">
      <c r="B154" s="139">
        <v>180</v>
      </c>
      <c r="C154" s="475" t="s">
        <v>42</v>
      </c>
      <c r="D154" s="411" t="s">
        <v>695</v>
      </c>
      <c r="E154" s="411" t="s">
        <v>696</v>
      </c>
      <c r="F154" s="411" t="s">
        <v>703</v>
      </c>
      <c r="G154" s="412" t="s">
        <v>704</v>
      </c>
      <c r="H154" s="411" t="s">
        <v>705</v>
      </c>
      <c r="I154" s="411" t="s">
        <v>53</v>
      </c>
      <c r="J154" s="289" t="s">
        <v>706</v>
      </c>
      <c r="K154" s="213" t="s">
        <v>707</v>
      </c>
      <c r="L154" s="289" t="s">
        <v>66</v>
      </c>
      <c r="M154" s="225" t="s">
        <v>56</v>
      </c>
      <c r="N154" s="588" t="s">
        <v>114</v>
      </c>
      <c r="O154" s="147" t="e">
        <v>#N/A</v>
      </c>
    </row>
    <row r="155" spans="1:15" ht="43.5">
      <c r="B155" s="139">
        <v>181</v>
      </c>
      <c r="C155" s="476" t="s">
        <v>42</v>
      </c>
      <c r="D155" s="291" t="s">
        <v>695</v>
      </c>
      <c r="E155" s="291" t="s">
        <v>696</v>
      </c>
      <c r="F155" s="291" t="s">
        <v>708</v>
      </c>
      <c r="G155" s="292" t="s">
        <v>709</v>
      </c>
      <c r="H155" s="291" t="s">
        <v>705</v>
      </c>
      <c r="I155" s="291" t="s">
        <v>53</v>
      </c>
      <c r="J155" s="413" t="s">
        <v>706</v>
      </c>
      <c r="K155" s="414" t="s">
        <v>707</v>
      </c>
      <c r="L155" s="413" t="s">
        <v>66</v>
      </c>
      <c r="M155" s="293" t="s">
        <v>710</v>
      </c>
      <c r="N155" s="520" t="s">
        <v>116</v>
      </c>
      <c r="O155" s="147" t="e">
        <v>#N/A</v>
      </c>
    </row>
    <row r="156" spans="1:15" ht="116">
      <c r="B156" s="139">
        <v>256</v>
      </c>
      <c r="C156" s="564" t="s">
        <v>42</v>
      </c>
      <c r="D156" s="567" t="s">
        <v>695</v>
      </c>
      <c r="E156" s="567" t="s">
        <v>696</v>
      </c>
      <c r="F156" s="567" t="s">
        <v>711</v>
      </c>
      <c r="G156" s="567" t="s">
        <v>7</v>
      </c>
      <c r="H156" s="567" t="s">
        <v>705</v>
      </c>
      <c r="I156" s="567" t="s">
        <v>53</v>
      </c>
      <c r="J156" s="508" t="s">
        <v>712</v>
      </c>
      <c r="K156" s="512" t="s">
        <v>713</v>
      </c>
      <c r="L156" s="512" t="s">
        <v>714</v>
      </c>
      <c r="M156" s="515" t="s">
        <v>715</v>
      </c>
      <c r="N156" s="591" t="s">
        <v>716</v>
      </c>
      <c r="O156" s="147"/>
    </row>
    <row r="157" spans="1:15" ht="101.5">
      <c r="B157" s="139">
        <v>257</v>
      </c>
      <c r="C157" s="503" t="s">
        <v>42</v>
      </c>
      <c r="D157" s="506" t="s">
        <v>695</v>
      </c>
      <c r="E157" s="506" t="s">
        <v>696</v>
      </c>
      <c r="F157" s="506" t="s">
        <v>711</v>
      </c>
      <c r="G157" s="506" t="s">
        <v>60</v>
      </c>
      <c r="H157" s="506" t="s">
        <v>705</v>
      </c>
      <c r="I157" s="506" t="s">
        <v>53</v>
      </c>
      <c r="J157" s="485" t="s">
        <v>717</v>
      </c>
      <c r="K157" s="212" t="s">
        <v>718</v>
      </c>
      <c r="L157" s="513" t="s">
        <v>719</v>
      </c>
      <c r="M157" s="278" t="s">
        <v>720</v>
      </c>
      <c r="N157" s="596" t="s">
        <v>721</v>
      </c>
      <c r="O157" s="147"/>
    </row>
    <row r="158" spans="1:15" ht="29">
      <c r="B158" s="139">
        <v>65</v>
      </c>
      <c r="C158" s="190" t="s">
        <v>145</v>
      </c>
      <c r="D158" s="135" t="s">
        <v>722</v>
      </c>
      <c r="E158" s="135">
        <v>25120</v>
      </c>
      <c r="F158" s="135" t="s">
        <v>723</v>
      </c>
      <c r="G158" s="135" t="s">
        <v>34</v>
      </c>
      <c r="H158" s="135" t="s">
        <v>189</v>
      </c>
      <c r="I158" s="135" t="s">
        <v>36</v>
      </c>
      <c r="J158" s="268" t="s">
        <v>724</v>
      </c>
      <c r="K158" s="205" t="s">
        <v>725</v>
      </c>
      <c r="L158" s="97" t="s">
        <v>192</v>
      </c>
      <c r="M158" s="100" t="s">
        <v>726</v>
      </c>
      <c r="N158" s="134" t="s">
        <v>41</v>
      </c>
      <c r="O158" s="147" t="e">
        <v>#N/A</v>
      </c>
    </row>
    <row r="159" spans="1:15" ht="29">
      <c r="B159" s="139">
        <v>229</v>
      </c>
      <c r="C159" s="389" t="s">
        <v>68</v>
      </c>
      <c r="D159" s="104" t="s">
        <v>727</v>
      </c>
      <c r="E159" s="104">
        <v>89400</v>
      </c>
      <c r="F159" s="104" t="s">
        <v>728</v>
      </c>
      <c r="G159" s="104" t="s">
        <v>665</v>
      </c>
      <c r="H159" s="104" t="s">
        <v>573</v>
      </c>
      <c r="I159" s="104" t="s">
        <v>53</v>
      </c>
      <c r="J159" s="265" t="s">
        <v>574</v>
      </c>
      <c r="K159" s="203" t="s">
        <v>575</v>
      </c>
      <c r="L159" s="267" t="s">
        <v>56</v>
      </c>
      <c r="M159" s="206" t="s">
        <v>729</v>
      </c>
      <c r="N159" s="122" t="s">
        <v>730</v>
      </c>
      <c r="O159" s="147" t="e">
        <v>#N/A</v>
      </c>
    </row>
    <row r="160" spans="1:15">
      <c r="B160" s="139">
        <v>230</v>
      </c>
      <c r="C160" s="190" t="s">
        <v>68</v>
      </c>
      <c r="D160" s="96" t="s">
        <v>727</v>
      </c>
      <c r="E160" s="96">
        <v>89400</v>
      </c>
      <c r="F160" s="96" t="s">
        <v>731</v>
      </c>
      <c r="G160" s="96" t="s">
        <v>97</v>
      </c>
      <c r="H160" s="96" t="s">
        <v>97</v>
      </c>
      <c r="I160" s="96" t="s">
        <v>53</v>
      </c>
      <c r="J160" s="268" t="s">
        <v>56</v>
      </c>
      <c r="K160" s="205" t="s">
        <v>732</v>
      </c>
      <c r="L160" s="66" t="s">
        <v>41</v>
      </c>
      <c r="M160" s="100" t="s">
        <v>733</v>
      </c>
      <c r="N160" s="243" t="s">
        <v>41</v>
      </c>
      <c r="O160" s="147" t="e">
        <v>#N/A</v>
      </c>
    </row>
    <row r="161" spans="2:15" ht="144.75" customHeight="1">
      <c r="B161" s="139">
        <v>232</v>
      </c>
      <c r="C161" s="464" t="s">
        <v>68</v>
      </c>
      <c r="D161" s="120" t="s">
        <v>727</v>
      </c>
      <c r="E161" s="120" t="s">
        <v>734</v>
      </c>
      <c r="F161" s="120" t="s">
        <v>735</v>
      </c>
      <c r="G161" s="95" t="s">
        <v>306</v>
      </c>
      <c r="H161" s="120" t="s">
        <v>736</v>
      </c>
      <c r="I161" s="120" t="s">
        <v>36</v>
      </c>
      <c r="J161" s="285" t="s">
        <v>737</v>
      </c>
      <c r="K161" s="120" t="s">
        <v>738</v>
      </c>
      <c r="L161" s="284" t="s">
        <v>739</v>
      </c>
      <c r="M161" s="215" t="s">
        <v>56</v>
      </c>
      <c r="N161" s="498" t="s">
        <v>740</v>
      </c>
      <c r="O161" s="147" t="e">
        <v>#N/A</v>
      </c>
    </row>
    <row r="162" spans="2:15">
      <c r="B162" s="139">
        <v>36</v>
      </c>
      <c r="C162" s="190" t="s">
        <v>119</v>
      </c>
      <c r="D162" s="135" t="s">
        <v>741</v>
      </c>
      <c r="E162" s="135">
        <v>21500</v>
      </c>
      <c r="F162" s="135" t="s">
        <v>742</v>
      </c>
      <c r="G162" s="135" t="s">
        <v>34</v>
      </c>
      <c r="H162" s="135" t="s">
        <v>171</v>
      </c>
      <c r="I162" s="135" t="s">
        <v>36</v>
      </c>
      <c r="J162" s="269" t="s">
        <v>437</v>
      </c>
      <c r="K162" s="199">
        <v>811466280</v>
      </c>
      <c r="L162" s="66" t="s">
        <v>56</v>
      </c>
      <c r="M162" s="96" t="s">
        <v>743</v>
      </c>
      <c r="N162" s="216" t="s">
        <v>175</v>
      </c>
      <c r="O162" s="147" t="e">
        <v>#N/A</v>
      </c>
    </row>
    <row r="163" spans="2:15" ht="29">
      <c r="B163" s="139">
        <v>37</v>
      </c>
      <c r="C163" s="389" t="s">
        <v>119</v>
      </c>
      <c r="D163" s="104" t="s">
        <v>741</v>
      </c>
      <c r="E163" s="104">
        <v>21500</v>
      </c>
      <c r="F163" s="104" t="s">
        <v>744</v>
      </c>
      <c r="G163" s="104" t="s">
        <v>665</v>
      </c>
      <c r="H163" s="104" t="s">
        <v>745</v>
      </c>
      <c r="I163" s="104" t="s">
        <v>53</v>
      </c>
      <c r="J163" s="265" t="s">
        <v>746</v>
      </c>
      <c r="K163" s="203" t="s">
        <v>747</v>
      </c>
      <c r="L163" s="264" t="s">
        <v>748</v>
      </c>
      <c r="M163" s="206" t="s">
        <v>749</v>
      </c>
      <c r="N163" s="206" t="s">
        <v>58</v>
      </c>
      <c r="O163" s="139" t="e">
        <v>#N/A</v>
      </c>
    </row>
    <row r="164" spans="2:15" ht="29">
      <c r="B164" s="139">
        <v>38</v>
      </c>
      <c r="C164" s="190" t="s">
        <v>119</v>
      </c>
      <c r="D164" s="135" t="s">
        <v>741</v>
      </c>
      <c r="E164" s="135">
        <v>21500</v>
      </c>
      <c r="F164" s="135" t="s">
        <v>750</v>
      </c>
      <c r="G164" s="135" t="s">
        <v>101</v>
      </c>
      <c r="H164" s="135" t="s">
        <v>751</v>
      </c>
      <c r="I164" s="135" t="s">
        <v>36</v>
      </c>
      <c r="J164" s="268"/>
      <c r="K164" s="205"/>
      <c r="L164" s="274" t="s">
        <v>56</v>
      </c>
      <c r="M164" s="100" t="s">
        <v>752</v>
      </c>
      <c r="N164" s="220" t="s">
        <v>753</v>
      </c>
      <c r="O164" s="147" t="e">
        <v>#N/A</v>
      </c>
    </row>
    <row r="165" spans="2:15" ht="101.5">
      <c r="B165" s="139">
        <v>66</v>
      </c>
      <c r="C165" s="561" t="s">
        <v>145</v>
      </c>
      <c r="D165" s="171" t="s">
        <v>754</v>
      </c>
      <c r="E165" s="171" t="s">
        <v>755</v>
      </c>
      <c r="F165" s="171" t="s">
        <v>756</v>
      </c>
      <c r="G165" s="171" t="s">
        <v>5</v>
      </c>
      <c r="H165" s="330" t="s">
        <v>219</v>
      </c>
      <c r="I165" s="330" t="s">
        <v>36</v>
      </c>
      <c r="J165" s="301" t="s">
        <v>220</v>
      </c>
      <c r="K165" s="210" t="s">
        <v>757</v>
      </c>
      <c r="L165" s="103" t="s">
        <v>192</v>
      </c>
      <c r="M165" s="221" t="s">
        <v>758</v>
      </c>
      <c r="N165" s="233" t="s">
        <v>759</v>
      </c>
      <c r="O165" s="147" t="s">
        <v>161</v>
      </c>
    </row>
    <row r="166" spans="2:15" ht="29">
      <c r="B166" s="139">
        <v>67</v>
      </c>
      <c r="C166" s="474" t="s">
        <v>145</v>
      </c>
      <c r="D166" s="104" t="s">
        <v>754</v>
      </c>
      <c r="E166" s="104">
        <v>25200</v>
      </c>
      <c r="F166" s="104" t="s">
        <v>760</v>
      </c>
      <c r="G166" s="104" t="s">
        <v>7</v>
      </c>
      <c r="H166" s="181" t="s">
        <v>156</v>
      </c>
      <c r="I166" s="181" t="s">
        <v>36</v>
      </c>
      <c r="J166" s="265" t="s">
        <v>157</v>
      </c>
      <c r="K166" s="203" t="s">
        <v>761</v>
      </c>
      <c r="L166" s="265" t="s">
        <v>159</v>
      </c>
      <c r="M166" s="206" t="s">
        <v>196</v>
      </c>
      <c r="N166" s="122" t="s">
        <v>197</v>
      </c>
      <c r="O166" s="147" t="s">
        <v>161</v>
      </c>
    </row>
    <row r="167" spans="2:15" ht="87">
      <c r="B167" s="139">
        <v>68</v>
      </c>
      <c r="C167" s="468" t="s">
        <v>145</v>
      </c>
      <c r="D167" s="186" t="s">
        <v>754</v>
      </c>
      <c r="E167" s="186" t="s">
        <v>755</v>
      </c>
      <c r="F167" s="186" t="s">
        <v>762</v>
      </c>
      <c r="G167" s="135" t="s">
        <v>97</v>
      </c>
      <c r="H167" s="186" t="s">
        <v>189</v>
      </c>
      <c r="I167" s="186" t="s">
        <v>36</v>
      </c>
      <c r="J167" s="270" t="s">
        <v>220</v>
      </c>
      <c r="K167" s="576" t="s">
        <v>763</v>
      </c>
      <c r="L167" s="268" t="s">
        <v>192</v>
      </c>
      <c r="M167" s="219" t="s">
        <v>764</v>
      </c>
      <c r="N167" s="242" t="s">
        <v>765</v>
      </c>
      <c r="O167" s="147" t="s">
        <v>161</v>
      </c>
    </row>
    <row r="168" spans="2:15" ht="87" customHeight="1">
      <c r="B168" s="139">
        <v>183</v>
      </c>
      <c r="C168" s="190" t="s">
        <v>42</v>
      </c>
      <c r="D168" s="135" t="s">
        <v>766</v>
      </c>
      <c r="E168" s="135">
        <v>71300</v>
      </c>
      <c r="F168" s="135" t="s">
        <v>767</v>
      </c>
      <c r="G168" s="135" t="s">
        <v>34</v>
      </c>
      <c r="H168" s="135" t="s">
        <v>45</v>
      </c>
      <c r="I168" s="135" t="s">
        <v>36</v>
      </c>
      <c r="J168" s="268" t="s">
        <v>768</v>
      </c>
      <c r="K168" s="205" t="s">
        <v>769</v>
      </c>
      <c r="L168" s="66" t="s">
        <v>41</v>
      </c>
      <c r="M168" s="100" t="s">
        <v>770</v>
      </c>
      <c r="N168" s="220" t="s">
        <v>771</v>
      </c>
      <c r="O168" s="147" t="e">
        <v>#N/A</v>
      </c>
    </row>
    <row r="169" spans="2:15" ht="29">
      <c r="B169" s="139">
        <v>184</v>
      </c>
      <c r="C169" s="389" t="s">
        <v>42</v>
      </c>
      <c r="D169" s="104" t="s">
        <v>766</v>
      </c>
      <c r="E169" s="104" t="s">
        <v>772</v>
      </c>
      <c r="F169" s="104" t="s">
        <v>773</v>
      </c>
      <c r="G169" s="104" t="s">
        <v>7</v>
      </c>
      <c r="H169" s="104" t="s">
        <v>774</v>
      </c>
      <c r="I169" s="104" t="s">
        <v>53</v>
      </c>
      <c r="J169" s="265" t="s">
        <v>775</v>
      </c>
      <c r="K169" s="203" t="s">
        <v>776</v>
      </c>
      <c r="L169" s="267" t="s">
        <v>56</v>
      </c>
      <c r="M169" s="206" t="s">
        <v>777</v>
      </c>
      <c r="N169" s="123" t="s">
        <v>58</v>
      </c>
      <c r="O169" s="147" t="e">
        <v>#N/A</v>
      </c>
    </row>
    <row r="170" spans="2:15" ht="43.5">
      <c r="B170" s="139">
        <v>187</v>
      </c>
      <c r="C170" s="189" t="s">
        <v>42</v>
      </c>
      <c r="D170" s="93" t="s">
        <v>766</v>
      </c>
      <c r="E170" s="93" t="s">
        <v>772</v>
      </c>
      <c r="F170" s="93" t="s">
        <v>773</v>
      </c>
      <c r="G170" s="93" t="s">
        <v>9</v>
      </c>
      <c r="H170" s="93" t="s">
        <v>778</v>
      </c>
      <c r="I170" s="93" t="s">
        <v>53</v>
      </c>
      <c r="J170" s="280" t="s">
        <v>775</v>
      </c>
      <c r="K170" s="193" t="s">
        <v>776</v>
      </c>
      <c r="L170" s="267" t="s">
        <v>56</v>
      </c>
      <c r="M170" s="267" t="s">
        <v>56</v>
      </c>
      <c r="N170" s="587" t="s">
        <v>779</v>
      </c>
      <c r="O170" s="147" t="e">
        <v>#N/A</v>
      </c>
    </row>
    <row r="171" spans="2:15" ht="58">
      <c r="B171" s="139">
        <v>190</v>
      </c>
      <c r="C171" s="478" t="s">
        <v>42</v>
      </c>
      <c r="D171" s="118" t="s">
        <v>766</v>
      </c>
      <c r="E171" s="118" t="s">
        <v>772</v>
      </c>
      <c r="F171" s="117" t="s">
        <v>773</v>
      </c>
      <c r="G171" s="117" t="s">
        <v>113</v>
      </c>
      <c r="H171" s="118" t="s">
        <v>778</v>
      </c>
      <c r="I171" s="118" t="s">
        <v>53</v>
      </c>
      <c r="J171" s="290" t="s">
        <v>780</v>
      </c>
      <c r="K171" s="208" t="s">
        <v>781</v>
      </c>
      <c r="L171" s="273" t="s">
        <v>56</v>
      </c>
      <c r="M171" s="215" t="s">
        <v>56</v>
      </c>
      <c r="N171" s="237" t="s">
        <v>114</v>
      </c>
      <c r="O171" s="147" t="e">
        <v>#N/A</v>
      </c>
    </row>
    <row r="172" spans="2:15" ht="72.5">
      <c r="B172" s="139">
        <v>241</v>
      </c>
      <c r="C172" s="562" t="s">
        <v>42</v>
      </c>
      <c r="D172" s="197" t="s">
        <v>766</v>
      </c>
      <c r="E172" s="197" t="s">
        <v>772</v>
      </c>
      <c r="F172" s="197" t="s">
        <v>773</v>
      </c>
      <c r="G172" s="197" t="s">
        <v>782</v>
      </c>
      <c r="H172" s="197" t="s">
        <v>783</v>
      </c>
      <c r="I172" s="197" t="s">
        <v>53</v>
      </c>
      <c r="J172" s="490" t="s">
        <v>780</v>
      </c>
      <c r="K172" s="286" t="s">
        <v>776</v>
      </c>
      <c r="L172" s="215"/>
      <c r="M172" s="215"/>
      <c r="N172" s="589" t="s">
        <v>784</v>
      </c>
      <c r="O172" s="147"/>
    </row>
    <row r="173" spans="2:15" ht="72.5">
      <c r="B173" s="139">
        <v>242</v>
      </c>
      <c r="C173" s="504" t="s">
        <v>42</v>
      </c>
      <c r="D173" s="198" t="s">
        <v>766</v>
      </c>
      <c r="E173" s="198" t="s">
        <v>772</v>
      </c>
      <c r="F173" s="198" t="s">
        <v>773</v>
      </c>
      <c r="G173" s="198" t="s">
        <v>60</v>
      </c>
      <c r="H173" s="198" t="s">
        <v>783</v>
      </c>
      <c r="I173" s="198" t="s">
        <v>53</v>
      </c>
      <c r="J173" s="509" t="s">
        <v>780</v>
      </c>
      <c r="K173" s="198" t="s">
        <v>776</v>
      </c>
      <c r="L173" s="216"/>
      <c r="M173" s="215"/>
      <c r="N173" s="590" t="s">
        <v>784</v>
      </c>
      <c r="O173" s="147"/>
    </row>
    <row r="174" spans="2:15" ht="72.5">
      <c r="B174" s="139">
        <v>258</v>
      </c>
      <c r="C174" s="470" t="s">
        <v>42</v>
      </c>
      <c r="D174" s="283" t="s">
        <v>766</v>
      </c>
      <c r="E174" s="283" t="s">
        <v>772</v>
      </c>
      <c r="F174" s="283" t="s">
        <v>773</v>
      </c>
      <c r="G174" s="283" t="s">
        <v>306</v>
      </c>
      <c r="H174" s="283" t="s">
        <v>783</v>
      </c>
      <c r="I174" s="283" t="s">
        <v>53</v>
      </c>
      <c r="J174" s="491" t="s">
        <v>780</v>
      </c>
      <c r="K174" s="223" t="s">
        <v>776</v>
      </c>
      <c r="L174" s="216"/>
      <c r="M174" s="215"/>
      <c r="N174" s="517" t="s">
        <v>784</v>
      </c>
      <c r="O174" s="147"/>
    </row>
    <row r="175" spans="2:15" ht="29">
      <c r="B175" s="139">
        <v>136</v>
      </c>
      <c r="C175" s="190" t="s">
        <v>31</v>
      </c>
      <c r="D175" s="135" t="s">
        <v>785</v>
      </c>
      <c r="E175" s="135">
        <v>39400</v>
      </c>
      <c r="F175" s="135" t="s">
        <v>786</v>
      </c>
      <c r="G175" s="135" t="s">
        <v>101</v>
      </c>
      <c r="H175" s="135" t="s">
        <v>787</v>
      </c>
      <c r="I175" s="135" t="s">
        <v>36</v>
      </c>
      <c r="J175" s="268" t="s">
        <v>625</v>
      </c>
      <c r="K175" s="205" t="s">
        <v>788</v>
      </c>
      <c r="L175" s="268" t="s">
        <v>789</v>
      </c>
      <c r="M175" s="100" t="s">
        <v>790</v>
      </c>
      <c r="N175" s="220" t="s">
        <v>104</v>
      </c>
      <c r="O175" s="147" t="e">
        <v>#N/A</v>
      </c>
    </row>
    <row r="176" spans="2:15">
      <c r="B176" s="139">
        <v>70</v>
      </c>
      <c r="C176" s="190" t="s">
        <v>145</v>
      </c>
      <c r="D176" s="135" t="s">
        <v>791</v>
      </c>
      <c r="E176" s="135">
        <v>25500</v>
      </c>
      <c r="F176" s="135" t="s">
        <v>792</v>
      </c>
      <c r="G176" s="135" t="s">
        <v>101</v>
      </c>
      <c r="H176" s="135" t="s">
        <v>793</v>
      </c>
      <c r="I176" s="135" t="s">
        <v>53</v>
      </c>
      <c r="J176" s="268" t="s">
        <v>794</v>
      </c>
      <c r="K176" s="205" t="s">
        <v>795</v>
      </c>
      <c r="L176" s="274" t="s">
        <v>56</v>
      </c>
      <c r="M176" s="100" t="s">
        <v>796</v>
      </c>
      <c r="N176" s="220" t="s">
        <v>104</v>
      </c>
      <c r="O176" s="147" t="e">
        <v>#N/A</v>
      </c>
    </row>
    <row r="177" spans="2:15" ht="29">
      <c r="B177" s="139">
        <v>71</v>
      </c>
      <c r="C177" s="190" t="s">
        <v>145</v>
      </c>
      <c r="D177" s="135" t="s">
        <v>791</v>
      </c>
      <c r="E177" s="135">
        <v>25500</v>
      </c>
      <c r="F177" s="135" t="s">
        <v>797</v>
      </c>
      <c r="G177" s="135" t="s">
        <v>101</v>
      </c>
      <c r="H177" s="135" t="s">
        <v>148</v>
      </c>
      <c r="I177" s="135" t="s">
        <v>36</v>
      </c>
      <c r="J177" s="268" t="s">
        <v>149</v>
      </c>
      <c r="K177" s="205" t="s">
        <v>798</v>
      </c>
      <c r="L177" s="269" t="s">
        <v>75</v>
      </c>
      <c r="M177" s="100" t="s">
        <v>799</v>
      </c>
      <c r="N177" s="220" t="s">
        <v>104</v>
      </c>
      <c r="O177" s="147" t="e">
        <v>#N/A</v>
      </c>
    </row>
    <row r="178" spans="2:15" ht="43.5">
      <c r="B178" s="139">
        <v>153</v>
      </c>
      <c r="C178" s="466" t="s">
        <v>357</v>
      </c>
      <c r="D178" s="171" t="s">
        <v>800</v>
      </c>
      <c r="E178" s="171" t="s">
        <v>801</v>
      </c>
      <c r="F178" s="171" t="s">
        <v>802</v>
      </c>
      <c r="G178" s="171" t="s">
        <v>5</v>
      </c>
      <c r="H178" s="171" t="s">
        <v>803</v>
      </c>
      <c r="I178" s="171" t="s">
        <v>36</v>
      </c>
      <c r="J178" s="492" t="s">
        <v>804</v>
      </c>
      <c r="K178" s="210" t="s">
        <v>805</v>
      </c>
      <c r="L178" s="581" t="s">
        <v>75</v>
      </c>
      <c r="M178" s="172" t="s">
        <v>806</v>
      </c>
      <c r="N178" s="233" t="s">
        <v>807</v>
      </c>
      <c r="O178" s="147" t="e">
        <v>#N/A</v>
      </c>
    </row>
    <row r="179" spans="2:15" ht="42.65" customHeight="1">
      <c r="B179" s="139">
        <v>154</v>
      </c>
      <c r="C179" s="479" t="s">
        <v>357</v>
      </c>
      <c r="D179" s="259" t="s">
        <v>800</v>
      </c>
      <c r="E179" s="259" t="s">
        <v>801</v>
      </c>
      <c r="F179" s="250" t="s">
        <v>808</v>
      </c>
      <c r="G179" s="259" t="s">
        <v>78</v>
      </c>
      <c r="H179" s="259" t="s">
        <v>79</v>
      </c>
      <c r="I179" s="259" t="s">
        <v>36</v>
      </c>
      <c r="J179" s="261" t="s">
        <v>367</v>
      </c>
      <c r="K179" s="254" t="s">
        <v>809</v>
      </c>
      <c r="L179" s="215"/>
      <c r="M179" s="253" t="s">
        <v>810</v>
      </c>
      <c r="N179" s="258" t="s">
        <v>83</v>
      </c>
      <c r="O179" s="147" t="e">
        <v>#N/A</v>
      </c>
    </row>
    <row r="180" spans="2:15" ht="29">
      <c r="B180" s="139">
        <v>155</v>
      </c>
      <c r="C180" s="389" t="s">
        <v>357</v>
      </c>
      <c r="D180" s="104" t="s">
        <v>800</v>
      </c>
      <c r="E180" s="104" t="s">
        <v>801</v>
      </c>
      <c r="F180" s="104" t="s">
        <v>811</v>
      </c>
      <c r="G180" s="104" t="s">
        <v>7</v>
      </c>
      <c r="H180" s="104" t="s">
        <v>812</v>
      </c>
      <c r="I180" s="104" t="s">
        <v>53</v>
      </c>
      <c r="J180" s="265" t="s">
        <v>813</v>
      </c>
      <c r="K180" s="203" t="s">
        <v>814</v>
      </c>
      <c r="L180" s="265" t="s">
        <v>403</v>
      </c>
      <c r="M180" s="206" t="s">
        <v>815</v>
      </c>
      <c r="N180" s="123" t="s">
        <v>96</v>
      </c>
      <c r="O180" s="147" t="e">
        <v>#N/A</v>
      </c>
    </row>
    <row r="181" spans="2:15" ht="87">
      <c r="B181" s="139">
        <v>156</v>
      </c>
      <c r="C181" s="190" t="s">
        <v>357</v>
      </c>
      <c r="D181" s="135" t="s">
        <v>800</v>
      </c>
      <c r="E181" s="135" t="s">
        <v>801</v>
      </c>
      <c r="F181" s="135" t="s">
        <v>808</v>
      </c>
      <c r="G181" s="135" t="s">
        <v>97</v>
      </c>
      <c r="H181" s="135" t="s">
        <v>79</v>
      </c>
      <c r="I181" s="135" t="s">
        <v>36</v>
      </c>
      <c r="J181" s="268" t="s">
        <v>367</v>
      </c>
      <c r="K181" s="205" t="s">
        <v>809</v>
      </c>
      <c r="L181" s="267" t="s">
        <v>56</v>
      </c>
      <c r="M181" s="100" t="s">
        <v>816</v>
      </c>
      <c r="N181" s="243" t="s">
        <v>817</v>
      </c>
      <c r="O181" s="147" t="e">
        <v>#N/A</v>
      </c>
    </row>
    <row r="182" spans="2:15" ht="87">
      <c r="B182" s="139">
        <v>157</v>
      </c>
      <c r="C182" s="472" t="s">
        <v>357</v>
      </c>
      <c r="D182" s="178" t="s">
        <v>800</v>
      </c>
      <c r="E182" s="178" t="s">
        <v>801</v>
      </c>
      <c r="F182" s="178" t="s">
        <v>818</v>
      </c>
      <c r="G182" s="179" t="s">
        <v>60</v>
      </c>
      <c r="H182" s="178" t="s">
        <v>812</v>
      </c>
      <c r="I182" s="178" t="s">
        <v>53</v>
      </c>
      <c r="J182" s="276" t="s">
        <v>813</v>
      </c>
      <c r="K182" s="178" t="s">
        <v>814</v>
      </c>
      <c r="L182" s="276" t="s">
        <v>403</v>
      </c>
      <c r="M182" s="215" t="s">
        <v>56</v>
      </c>
      <c r="N182" s="420" t="s">
        <v>819</v>
      </c>
      <c r="O182" s="147" t="e">
        <v>#N/A</v>
      </c>
    </row>
    <row r="183" spans="2:15" ht="29">
      <c r="B183" s="139">
        <v>158</v>
      </c>
      <c r="C183" s="189" t="s">
        <v>357</v>
      </c>
      <c r="D183" s="93" t="s">
        <v>800</v>
      </c>
      <c r="E183" s="93" t="s">
        <v>801</v>
      </c>
      <c r="F183" s="93" t="s">
        <v>811</v>
      </c>
      <c r="G183" s="193" t="s">
        <v>9</v>
      </c>
      <c r="H183" s="93" t="s">
        <v>812</v>
      </c>
      <c r="I183" s="93" t="s">
        <v>53</v>
      </c>
      <c r="J183" s="280" t="s">
        <v>813</v>
      </c>
      <c r="K183" s="193" t="s">
        <v>814</v>
      </c>
      <c r="L183" s="282" t="s">
        <v>403</v>
      </c>
      <c r="M183" s="224" t="s">
        <v>403</v>
      </c>
      <c r="N183" s="232" t="s">
        <v>820</v>
      </c>
      <c r="O183" s="147" t="e">
        <v>#N/A</v>
      </c>
    </row>
    <row r="184" spans="2:15" ht="29">
      <c r="B184" s="139">
        <v>101</v>
      </c>
      <c r="C184" s="190" t="s">
        <v>532</v>
      </c>
      <c r="D184" s="135" t="s">
        <v>821</v>
      </c>
      <c r="E184" s="135">
        <v>70130</v>
      </c>
      <c r="F184" s="135" t="s">
        <v>822</v>
      </c>
      <c r="G184" s="135" t="s">
        <v>101</v>
      </c>
      <c r="H184" s="135" t="s">
        <v>823</v>
      </c>
      <c r="I184" s="135" t="s">
        <v>36</v>
      </c>
      <c r="J184" s="268" t="s">
        <v>586</v>
      </c>
      <c r="K184" s="205" t="s">
        <v>824</v>
      </c>
      <c r="L184" s="268" t="s">
        <v>538</v>
      </c>
      <c r="M184" s="100" t="s">
        <v>825</v>
      </c>
      <c r="N184" s="220" t="s">
        <v>826</v>
      </c>
      <c r="O184" s="147" t="e">
        <v>#N/A</v>
      </c>
    </row>
    <row r="185" spans="2:15" ht="87">
      <c r="B185" s="139">
        <v>72</v>
      </c>
      <c r="C185" s="333" t="s">
        <v>145</v>
      </c>
      <c r="D185" s="119" t="s">
        <v>827</v>
      </c>
      <c r="E185" s="119" t="s">
        <v>225</v>
      </c>
      <c r="F185" s="119" t="s">
        <v>828</v>
      </c>
      <c r="G185" s="121" t="s">
        <v>60</v>
      </c>
      <c r="H185" s="119" t="s">
        <v>227</v>
      </c>
      <c r="I185" s="119" t="s">
        <v>53</v>
      </c>
      <c r="J185" s="276" t="s">
        <v>228</v>
      </c>
      <c r="K185" s="178" t="s">
        <v>229</v>
      </c>
      <c r="L185" s="277" t="s">
        <v>230</v>
      </c>
      <c r="M185" s="215" t="s">
        <v>41</v>
      </c>
      <c r="N185" s="231" t="s">
        <v>829</v>
      </c>
      <c r="O185" s="147" t="e">
        <v>#N/A</v>
      </c>
    </row>
    <row r="186" spans="2:15" ht="29">
      <c r="B186" s="139">
        <v>250</v>
      </c>
      <c r="C186" s="465" t="s">
        <v>145</v>
      </c>
      <c r="D186" s="122" t="s">
        <v>827</v>
      </c>
      <c r="E186" s="122" t="s">
        <v>225</v>
      </c>
      <c r="F186" s="122" t="s">
        <v>830</v>
      </c>
      <c r="G186" s="408" t="s">
        <v>7</v>
      </c>
      <c r="H186" s="122" t="s">
        <v>831</v>
      </c>
      <c r="I186" s="122" t="s">
        <v>53</v>
      </c>
      <c r="J186" s="265" t="s">
        <v>832</v>
      </c>
      <c r="K186" s="206" t="s">
        <v>833</v>
      </c>
      <c r="L186" s="216" t="s">
        <v>56</v>
      </c>
      <c r="M186" s="104" t="s">
        <v>834</v>
      </c>
      <c r="N186" s="518" t="s">
        <v>835</v>
      </c>
      <c r="O186" s="147" t="s">
        <v>56</v>
      </c>
    </row>
    <row r="187" spans="2:15" ht="92.15" customHeight="1">
      <c r="B187" s="139">
        <v>251</v>
      </c>
      <c r="C187" s="478" t="s">
        <v>145</v>
      </c>
      <c r="D187" s="118" t="s">
        <v>827</v>
      </c>
      <c r="E187" s="118" t="s">
        <v>225</v>
      </c>
      <c r="F187" s="118" t="s">
        <v>836</v>
      </c>
      <c r="G187" s="117" t="s">
        <v>113</v>
      </c>
      <c r="H187" s="197" t="s">
        <v>837</v>
      </c>
      <c r="I187" s="197" t="s">
        <v>53</v>
      </c>
      <c r="J187" s="338" t="s">
        <v>838</v>
      </c>
      <c r="K187" s="339">
        <v>381605819</v>
      </c>
      <c r="L187" s="215"/>
      <c r="M187" s="197" t="s">
        <v>839</v>
      </c>
      <c r="N187" s="197" t="s">
        <v>840</v>
      </c>
      <c r="O187" s="147"/>
    </row>
    <row r="188" spans="2:15" ht="29">
      <c r="B188" s="139">
        <v>255</v>
      </c>
      <c r="C188" s="480" t="s">
        <v>31</v>
      </c>
      <c r="D188" s="135" t="s">
        <v>841</v>
      </c>
      <c r="E188" s="271">
        <v>39270</v>
      </c>
      <c r="F188" s="507" t="s">
        <v>842</v>
      </c>
      <c r="G188" s="135" t="s">
        <v>101</v>
      </c>
      <c r="H188" s="96" t="s">
        <v>843</v>
      </c>
      <c r="I188" s="135" t="s">
        <v>36</v>
      </c>
      <c r="J188" s="268" t="s">
        <v>625</v>
      </c>
      <c r="K188" s="186" t="s">
        <v>844</v>
      </c>
      <c r="L188" s="268" t="s">
        <v>845</v>
      </c>
      <c r="M188" s="100" t="s">
        <v>846</v>
      </c>
      <c r="N188" s="243" t="s">
        <v>847</v>
      </c>
      <c r="O188" s="147"/>
    </row>
    <row r="189" spans="2:15" ht="29">
      <c r="B189" s="139">
        <v>73</v>
      </c>
      <c r="C189" s="190" t="s">
        <v>145</v>
      </c>
      <c r="D189" s="135" t="s">
        <v>848</v>
      </c>
      <c r="E189" s="135">
        <v>25290</v>
      </c>
      <c r="F189" s="135" t="s">
        <v>849</v>
      </c>
      <c r="G189" s="135" t="s">
        <v>101</v>
      </c>
      <c r="H189" s="135" t="s">
        <v>415</v>
      </c>
      <c r="I189" s="135" t="s">
        <v>36</v>
      </c>
      <c r="J189" s="268" t="s">
        <v>850</v>
      </c>
      <c r="K189" s="205" t="s">
        <v>851</v>
      </c>
      <c r="L189" s="268" t="s">
        <v>192</v>
      </c>
      <c r="M189" s="100" t="s">
        <v>852</v>
      </c>
      <c r="N189" s="220" t="s">
        <v>104</v>
      </c>
      <c r="O189" s="147" t="e">
        <v>#N/A</v>
      </c>
    </row>
    <row r="190" spans="2:15" ht="127" customHeight="1">
      <c r="B190" s="139">
        <v>74</v>
      </c>
      <c r="C190" s="190" t="s">
        <v>145</v>
      </c>
      <c r="D190" s="135" t="s">
        <v>848</v>
      </c>
      <c r="E190" s="135">
        <v>25290</v>
      </c>
      <c r="F190" s="135" t="s">
        <v>853</v>
      </c>
      <c r="G190" s="135" t="s">
        <v>101</v>
      </c>
      <c r="H190" s="135" t="s">
        <v>615</v>
      </c>
      <c r="I190" s="135" t="s">
        <v>36</v>
      </c>
      <c r="J190" s="268" t="s">
        <v>259</v>
      </c>
      <c r="K190" s="205">
        <v>381830332</v>
      </c>
      <c r="L190" s="274" t="s">
        <v>56</v>
      </c>
      <c r="M190" s="100" t="s">
        <v>854</v>
      </c>
      <c r="N190" s="220" t="s">
        <v>104</v>
      </c>
      <c r="O190" s="147" t="e">
        <v>#N/A</v>
      </c>
    </row>
    <row r="191" spans="2:15" ht="58">
      <c r="B191" s="139">
        <v>191</v>
      </c>
      <c r="C191" s="190" t="s">
        <v>42</v>
      </c>
      <c r="D191" s="135" t="s">
        <v>855</v>
      </c>
      <c r="E191" s="135">
        <v>71600</v>
      </c>
      <c r="F191" s="135" t="s">
        <v>856</v>
      </c>
      <c r="G191" s="135" t="s">
        <v>34</v>
      </c>
      <c r="H191" s="135" t="s">
        <v>45</v>
      </c>
      <c r="I191" s="135" t="s">
        <v>36</v>
      </c>
      <c r="J191" s="268" t="s">
        <v>857</v>
      </c>
      <c r="K191" s="205" t="s">
        <v>858</v>
      </c>
      <c r="L191" s="61" t="s">
        <v>56</v>
      </c>
      <c r="M191" s="100" t="s">
        <v>859</v>
      </c>
      <c r="N191" s="248" t="s">
        <v>860</v>
      </c>
      <c r="O191" s="147" t="e">
        <v>#N/A</v>
      </c>
    </row>
    <row r="192" spans="2:15" ht="95.5" customHeight="1">
      <c r="B192" s="139">
        <v>75</v>
      </c>
      <c r="C192" s="190" t="s">
        <v>145</v>
      </c>
      <c r="D192" s="135" t="s">
        <v>861</v>
      </c>
      <c r="E192" s="135">
        <v>25100</v>
      </c>
      <c r="F192" s="135" t="s">
        <v>862</v>
      </c>
      <c r="G192" s="135" t="s">
        <v>101</v>
      </c>
      <c r="H192" s="135" t="s">
        <v>415</v>
      </c>
      <c r="I192" s="135" t="s">
        <v>36</v>
      </c>
      <c r="J192" s="268" t="s">
        <v>220</v>
      </c>
      <c r="K192" s="205" t="s">
        <v>863</v>
      </c>
      <c r="L192" s="268" t="s">
        <v>192</v>
      </c>
      <c r="M192" s="100" t="s">
        <v>417</v>
      </c>
      <c r="N192" s="220" t="s">
        <v>104</v>
      </c>
      <c r="O192" s="147" t="e">
        <v>#N/A</v>
      </c>
    </row>
    <row r="193" spans="2:15" ht="58">
      <c r="B193" s="139">
        <v>76</v>
      </c>
      <c r="C193" s="422" t="s">
        <v>145</v>
      </c>
      <c r="D193" s="250" t="s">
        <v>864</v>
      </c>
      <c r="E193" s="250" t="s">
        <v>865</v>
      </c>
      <c r="F193" s="250" t="s">
        <v>866</v>
      </c>
      <c r="G193" s="250" t="s">
        <v>78</v>
      </c>
      <c r="H193" s="250" t="s">
        <v>867</v>
      </c>
      <c r="I193" s="250" t="s">
        <v>53</v>
      </c>
      <c r="J193" s="261" t="s">
        <v>794</v>
      </c>
      <c r="K193" s="254" t="s">
        <v>795</v>
      </c>
      <c r="L193" s="263" t="s">
        <v>56</v>
      </c>
      <c r="M193" s="253" t="s">
        <v>868</v>
      </c>
      <c r="N193" s="258" t="s">
        <v>83</v>
      </c>
      <c r="O193" s="147" t="e">
        <v>#N/A</v>
      </c>
    </row>
    <row r="194" spans="2:15" ht="29">
      <c r="B194" s="139">
        <v>77</v>
      </c>
      <c r="C194" s="389" t="s">
        <v>145</v>
      </c>
      <c r="D194" s="104" t="s">
        <v>864</v>
      </c>
      <c r="E194" s="104" t="s">
        <v>865</v>
      </c>
      <c r="F194" s="104" t="s">
        <v>866</v>
      </c>
      <c r="G194" s="104" t="s">
        <v>7</v>
      </c>
      <c r="H194" s="104" t="s">
        <v>869</v>
      </c>
      <c r="I194" s="104" t="s">
        <v>53</v>
      </c>
      <c r="J194" s="265" t="s">
        <v>794</v>
      </c>
      <c r="K194" s="203" t="s">
        <v>795</v>
      </c>
      <c r="L194" s="266" t="s">
        <v>56</v>
      </c>
      <c r="M194" s="206" t="s">
        <v>870</v>
      </c>
      <c r="N194" s="123" t="s">
        <v>58</v>
      </c>
      <c r="O194" s="147" t="e">
        <v>#N/A</v>
      </c>
    </row>
    <row r="195" spans="2:15" ht="29">
      <c r="B195" s="139">
        <v>79</v>
      </c>
      <c r="C195" s="190" t="s">
        <v>145</v>
      </c>
      <c r="D195" s="135" t="s">
        <v>864</v>
      </c>
      <c r="E195" s="135" t="s">
        <v>865</v>
      </c>
      <c r="F195" s="135" t="s">
        <v>871</v>
      </c>
      <c r="G195" s="135" t="s">
        <v>97</v>
      </c>
      <c r="H195" s="135" t="s">
        <v>867</v>
      </c>
      <c r="I195" s="135" t="s">
        <v>53</v>
      </c>
      <c r="J195" s="268" t="s">
        <v>794</v>
      </c>
      <c r="K195" s="205" t="s">
        <v>795</v>
      </c>
      <c r="L195" s="267" t="s">
        <v>56</v>
      </c>
      <c r="M195" s="100" t="s">
        <v>872</v>
      </c>
      <c r="N195" s="243" t="s">
        <v>873</v>
      </c>
      <c r="O195" s="147" t="e">
        <v>#N/A</v>
      </c>
    </row>
    <row r="196" spans="2:15" ht="29">
      <c r="B196" s="139">
        <v>80</v>
      </c>
      <c r="C196" s="468" t="s">
        <v>145</v>
      </c>
      <c r="D196" s="135" t="s">
        <v>864</v>
      </c>
      <c r="E196" s="135">
        <v>25300</v>
      </c>
      <c r="F196" s="135" t="s">
        <v>874</v>
      </c>
      <c r="G196" s="135" t="s">
        <v>101</v>
      </c>
      <c r="H196" s="135" t="s">
        <v>148</v>
      </c>
      <c r="I196" s="135" t="s">
        <v>36</v>
      </c>
      <c r="J196" s="268" t="s">
        <v>149</v>
      </c>
      <c r="K196" s="205" t="s">
        <v>875</v>
      </c>
      <c r="L196" s="268" t="s">
        <v>75</v>
      </c>
      <c r="M196" s="100" t="s">
        <v>876</v>
      </c>
      <c r="N196" s="220" t="s">
        <v>104</v>
      </c>
      <c r="O196" s="147" t="e">
        <v>#N/A</v>
      </c>
    </row>
    <row r="197" spans="2:15" ht="43.5">
      <c r="B197" s="139">
        <v>81</v>
      </c>
      <c r="C197" s="333" t="s">
        <v>145</v>
      </c>
      <c r="D197" s="119" t="s">
        <v>864</v>
      </c>
      <c r="E197" s="119" t="s">
        <v>865</v>
      </c>
      <c r="F197" s="119" t="s">
        <v>877</v>
      </c>
      <c r="G197" s="121" t="s">
        <v>60</v>
      </c>
      <c r="H197" s="119" t="s">
        <v>871</v>
      </c>
      <c r="I197" s="119" t="s">
        <v>53</v>
      </c>
      <c r="J197" s="276" t="s">
        <v>794</v>
      </c>
      <c r="K197" s="178" t="s">
        <v>795</v>
      </c>
      <c r="L197" s="267" t="s">
        <v>56</v>
      </c>
      <c r="M197" s="178" t="s">
        <v>878</v>
      </c>
      <c r="N197" s="231" t="s">
        <v>879</v>
      </c>
      <c r="O197" s="147" t="e">
        <v>#N/A</v>
      </c>
    </row>
    <row r="198" spans="2:15" ht="29">
      <c r="B198" s="139">
        <v>83</v>
      </c>
      <c r="C198" s="190" t="s">
        <v>145</v>
      </c>
      <c r="D198" s="135" t="s">
        <v>880</v>
      </c>
      <c r="E198" s="135">
        <v>25440</v>
      </c>
      <c r="F198" s="135" t="s">
        <v>881</v>
      </c>
      <c r="G198" s="135" t="s">
        <v>101</v>
      </c>
      <c r="H198" s="135" t="s">
        <v>882</v>
      </c>
      <c r="I198" s="135" t="s">
        <v>36</v>
      </c>
      <c r="J198" s="268" t="s">
        <v>149</v>
      </c>
      <c r="K198" s="205" t="s">
        <v>883</v>
      </c>
      <c r="L198" s="268" t="s">
        <v>75</v>
      </c>
      <c r="M198" s="100" t="s">
        <v>884</v>
      </c>
      <c r="N198" s="220" t="s">
        <v>104</v>
      </c>
      <c r="O198" s="147" t="e">
        <v>#N/A</v>
      </c>
    </row>
    <row r="199" spans="2:15" ht="29">
      <c r="B199" s="139">
        <v>102</v>
      </c>
      <c r="C199" s="190" t="s">
        <v>532</v>
      </c>
      <c r="D199" s="135" t="s">
        <v>885</v>
      </c>
      <c r="E199" s="135">
        <v>70190</v>
      </c>
      <c r="F199" s="135" t="s">
        <v>886</v>
      </c>
      <c r="G199" s="135" t="s">
        <v>101</v>
      </c>
      <c r="H199" s="135" t="s">
        <v>541</v>
      </c>
      <c r="I199" s="135" t="s">
        <v>36</v>
      </c>
      <c r="J199" s="268" t="s">
        <v>586</v>
      </c>
      <c r="K199" s="205" t="s">
        <v>587</v>
      </c>
      <c r="L199" s="269" t="s">
        <v>538</v>
      </c>
      <c r="M199" s="100" t="s">
        <v>887</v>
      </c>
      <c r="N199" s="220" t="s">
        <v>104</v>
      </c>
      <c r="O199" s="147" t="e">
        <v>#N/A</v>
      </c>
    </row>
    <row r="200" spans="2:15" ht="72.5">
      <c r="B200" s="139">
        <v>137</v>
      </c>
      <c r="C200" s="468" t="s">
        <v>31</v>
      </c>
      <c r="D200" s="186" t="s">
        <v>888</v>
      </c>
      <c r="E200" s="186">
        <v>39200</v>
      </c>
      <c r="F200" s="186" t="s">
        <v>889</v>
      </c>
      <c r="G200" s="186" t="s">
        <v>34</v>
      </c>
      <c r="H200" s="186" t="s">
        <v>645</v>
      </c>
      <c r="I200" s="186" t="s">
        <v>36</v>
      </c>
      <c r="J200" s="268" t="s">
        <v>625</v>
      </c>
      <c r="K200" s="211" t="s">
        <v>626</v>
      </c>
      <c r="L200" s="493" t="s">
        <v>627</v>
      </c>
      <c r="M200" s="186" t="s">
        <v>890</v>
      </c>
      <c r="N200" s="597" t="s">
        <v>891</v>
      </c>
      <c r="O200" s="147" t="e">
        <v>#N/A</v>
      </c>
    </row>
    <row r="201" spans="2:15" ht="43.5">
      <c r="B201" s="139">
        <v>138</v>
      </c>
      <c r="C201" s="190" t="s">
        <v>31</v>
      </c>
      <c r="D201" s="135" t="s">
        <v>888</v>
      </c>
      <c r="E201" s="135">
        <v>39200</v>
      </c>
      <c r="F201" s="135" t="s">
        <v>892</v>
      </c>
      <c r="G201" s="186" t="s">
        <v>101</v>
      </c>
      <c r="H201" s="135" t="s">
        <v>893</v>
      </c>
      <c r="I201" s="135" t="s">
        <v>36</v>
      </c>
      <c r="J201" s="269" t="s">
        <v>625</v>
      </c>
      <c r="K201" s="199" t="s">
        <v>626</v>
      </c>
      <c r="L201" s="269" t="s">
        <v>894</v>
      </c>
      <c r="M201" s="135" t="s">
        <v>895</v>
      </c>
      <c r="N201" s="220" t="s">
        <v>104</v>
      </c>
      <c r="O201" s="147" t="e">
        <v>#N/A</v>
      </c>
    </row>
    <row r="202" spans="2:15" ht="43.5">
      <c r="B202" s="139">
        <v>139</v>
      </c>
      <c r="C202" s="333" t="s">
        <v>31</v>
      </c>
      <c r="D202" s="119" t="s">
        <v>896</v>
      </c>
      <c r="E202" s="119" t="s">
        <v>897</v>
      </c>
      <c r="F202" s="121" t="s">
        <v>510</v>
      </c>
      <c r="G202" s="121" t="s">
        <v>60</v>
      </c>
      <c r="H202" s="119" t="s">
        <v>898</v>
      </c>
      <c r="I202" s="119" t="s">
        <v>53</v>
      </c>
      <c r="J202" s="276" t="s">
        <v>521</v>
      </c>
      <c r="K202" s="178" t="s">
        <v>513</v>
      </c>
      <c r="L202" s="276" t="s">
        <v>523</v>
      </c>
      <c r="M202" s="215" t="s">
        <v>56</v>
      </c>
      <c r="N202" s="231" t="s">
        <v>899</v>
      </c>
      <c r="O202" s="147" t="e">
        <v>#N/A</v>
      </c>
    </row>
    <row r="203" spans="2:15" ht="51" customHeight="1">
      <c r="B203" s="139">
        <v>140</v>
      </c>
      <c r="C203" s="190" t="s">
        <v>31</v>
      </c>
      <c r="D203" s="135" t="s">
        <v>900</v>
      </c>
      <c r="E203" s="135">
        <v>39110</v>
      </c>
      <c r="F203" s="135" t="s">
        <v>901</v>
      </c>
      <c r="G203" s="135" t="s">
        <v>101</v>
      </c>
      <c r="H203" s="135" t="s">
        <v>393</v>
      </c>
      <c r="I203" s="135" t="s">
        <v>36</v>
      </c>
      <c r="J203" s="575" t="s">
        <v>37</v>
      </c>
      <c r="K203" s="199">
        <v>756263989</v>
      </c>
      <c r="L203" s="269" t="s">
        <v>395</v>
      </c>
      <c r="M203" s="96" t="s">
        <v>902</v>
      </c>
      <c r="N203" s="100" t="s">
        <v>104</v>
      </c>
      <c r="O203" s="170" t="e">
        <v>#N/A</v>
      </c>
    </row>
    <row r="204" spans="2:15" ht="57" customHeight="1">
      <c r="B204" s="139">
        <v>39</v>
      </c>
      <c r="C204" s="190" t="s">
        <v>119</v>
      </c>
      <c r="D204" s="135" t="s">
        <v>903</v>
      </c>
      <c r="E204" s="135">
        <v>21210</v>
      </c>
      <c r="F204" s="135" t="s">
        <v>904</v>
      </c>
      <c r="G204" s="135" t="s">
        <v>34</v>
      </c>
      <c r="H204" s="135" t="s">
        <v>123</v>
      </c>
      <c r="I204" s="135" t="s">
        <v>36</v>
      </c>
      <c r="J204" s="269" t="s">
        <v>124</v>
      </c>
      <c r="K204" s="199" t="s">
        <v>125</v>
      </c>
      <c r="L204" s="61" t="s">
        <v>56</v>
      </c>
      <c r="M204" s="96" t="s">
        <v>905</v>
      </c>
      <c r="N204" s="215" t="s">
        <v>41</v>
      </c>
      <c r="O204" s="170" t="e">
        <v>#N/A</v>
      </c>
    </row>
    <row r="205" spans="2:15" ht="29">
      <c r="B205" s="139">
        <v>40</v>
      </c>
      <c r="C205" s="389" t="s">
        <v>119</v>
      </c>
      <c r="D205" s="104" t="s">
        <v>903</v>
      </c>
      <c r="E205" s="104">
        <v>21210</v>
      </c>
      <c r="F205" s="104" t="s">
        <v>906</v>
      </c>
      <c r="G205" s="104" t="s">
        <v>665</v>
      </c>
      <c r="H205" s="104" t="s">
        <v>907</v>
      </c>
      <c r="I205" s="184" t="s">
        <v>53</v>
      </c>
      <c r="J205" s="369" t="s">
        <v>746</v>
      </c>
      <c r="K205" s="370" t="s">
        <v>747</v>
      </c>
      <c r="L205" s="527" t="s">
        <v>748</v>
      </c>
      <c r="M205" s="528" t="s">
        <v>908</v>
      </c>
      <c r="N205" s="123" t="s">
        <v>58</v>
      </c>
      <c r="O205" s="147" t="e">
        <v>#N/A</v>
      </c>
    </row>
    <row r="206" spans="2:15" ht="29">
      <c r="B206" s="139">
        <v>41</v>
      </c>
      <c r="C206" s="190" t="s">
        <v>119</v>
      </c>
      <c r="D206" s="135" t="s">
        <v>909</v>
      </c>
      <c r="E206" s="135">
        <v>21260</v>
      </c>
      <c r="F206" s="135" t="s">
        <v>910</v>
      </c>
      <c r="G206" s="135" t="s">
        <v>34</v>
      </c>
      <c r="H206" s="135" t="s">
        <v>171</v>
      </c>
      <c r="I206" s="135" t="s">
        <v>36</v>
      </c>
      <c r="J206" s="269" t="s">
        <v>567</v>
      </c>
      <c r="K206" s="199">
        <v>811466280</v>
      </c>
      <c r="L206" s="61" t="s">
        <v>56</v>
      </c>
      <c r="M206" s="100" t="s">
        <v>911</v>
      </c>
      <c r="N206" s="134" t="s">
        <v>41</v>
      </c>
      <c r="O206" s="147" t="e">
        <v>#N/A</v>
      </c>
    </row>
    <row r="207" spans="2:15" ht="72.5">
      <c r="B207" s="139">
        <v>42</v>
      </c>
      <c r="C207" s="474" t="s">
        <v>119</v>
      </c>
      <c r="D207" s="104" t="s">
        <v>912</v>
      </c>
      <c r="E207" s="104">
        <v>21140</v>
      </c>
      <c r="F207" s="104" t="s">
        <v>913</v>
      </c>
      <c r="G207" s="104" t="s">
        <v>665</v>
      </c>
      <c r="H207" s="104" t="s">
        <v>914</v>
      </c>
      <c r="I207" s="104" t="s">
        <v>53</v>
      </c>
      <c r="J207" s="264" t="s">
        <v>746</v>
      </c>
      <c r="K207" s="200" t="s">
        <v>747</v>
      </c>
      <c r="L207" s="265" t="s">
        <v>748</v>
      </c>
      <c r="M207" s="122" t="s">
        <v>915</v>
      </c>
      <c r="N207" s="123" t="s">
        <v>58</v>
      </c>
      <c r="O207" s="147" t="e">
        <v>#N/A</v>
      </c>
    </row>
    <row r="208" spans="2:15" ht="29">
      <c r="B208" s="139">
        <v>43</v>
      </c>
      <c r="C208" s="472" t="s">
        <v>119</v>
      </c>
      <c r="D208" s="119" t="s">
        <v>912</v>
      </c>
      <c r="E208" s="119" t="s">
        <v>916</v>
      </c>
      <c r="F208" s="121" t="s">
        <v>917</v>
      </c>
      <c r="G208" s="121" t="s">
        <v>60</v>
      </c>
      <c r="H208" s="119" t="s">
        <v>918</v>
      </c>
      <c r="I208" s="119" t="s">
        <v>53</v>
      </c>
      <c r="J208" s="277" t="s">
        <v>746</v>
      </c>
      <c r="K208" s="119" t="s">
        <v>747</v>
      </c>
      <c r="L208" s="276" t="s">
        <v>748</v>
      </c>
      <c r="M208" s="216" t="s">
        <v>41</v>
      </c>
      <c r="N208" s="231" t="s">
        <v>919</v>
      </c>
      <c r="O208" s="147" t="e">
        <v>#N/A</v>
      </c>
    </row>
    <row r="209" spans="2:15" ht="29">
      <c r="B209" s="139">
        <v>44</v>
      </c>
      <c r="C209" s="473" t="s">
        <v>119</v>
      </c>
      <c r="D209" s="93" t="s">
        <v>912</v>
      </c>
      <c r="E209" s="93" t="s">
        <v>916</v>
      </c>
      <c r="F209" s="93" t="s">
        <v>913</v>
      </c>
      <c r="G209" s="93" t="s">
        <v>704</v>
      </c>
      <c r="H209" s="93" t="s">
        <v>918</v>
      </c>
      <c r="I209" s="93" t="s">
        <v>53</v>
      </c>
      <c r="J209" s="279" t="s">
        <v>746</v>
      </c>
      <c r="K209" s="93" t="s">
        <v>747</v>
      </c>
      <c r="L209" s="280" t="s">
        <v>748</v>
      </c>
      <c r="M209" s="216" t="s">
        <v>41</v>
      </c>
      <c r="N209" s="232" t="s">
        <v>920</v>
      </c>
      <c r="O209" s="147" t="e">
        <v>#N/A</v>
      </c>
    </row>
    <row r="210" spans="2:15" ht="58">
      <c r="B210" s="139">
        <v>233</v>
      </c>
      <c r="C210" s="468" t="s">
        <v>68</v>
      </c>
      <c r="D210" s="135" t="s">
        <v>921</v>
      </c>
      <c r="E210" s="135">
        <v>89100</v>
      </c>
      <c r="F210" s="135" t="s">
        <v>922</v>
      </c>
      <c r="G210" s="135" t="s">
        <v>34</v>
      </c>
      <c r="H210" s="135" t="s">
        <v>79</v>
      </c>
      <c r="I210" s="135" t="s">
        <v>36</v>
      </c>
      <c r="J210" s="269" t="s">
        <v>923</v>
      </c>
      <c r="K210" s="199" t="s">
        <v>924</v>
      </c>
      <c r="L210" s="66" t="s">
        <v>56</v>
      </c>
      <c r="M210" s="96" t="s">
        <v>925</v>
      </c>
      <c r="N210" s="191" t="s">
        <v>926</v>
      </c>
      <c r="O210" s="147" t="e">
        <v>#N/A</v>
      </c>
    </row>
    <row r="211" spans="2:15" ht="64" customHeight="1">
      <c r="B211" s="139">
        <v>234</v>
      </c>
      <c r="C211" s="389" t="s">
        <v>68</v>
      </c>
      <c r="D211" s="104" t="s">
        <v>921</v>
      </c>
      <c r="E211" s="104" t="s">
        <v>927</v>
      </c>
      <c r="F211" s="104" t="s">
        <v>928</v>
      </c>
      <c r="G211" s="104" t="s">
        <v>7</v>
      </c>
      <c r="H211" s="104" t="s">
        <v>929</v>
      </c>
      <c r="I211" s="104" t="s">
        <v>53</v>
      </c>
      <c r="J211" s="264" t="s">
        <v>930</v>
      </c>
      <c r="K211" s="200" t="s">
        <v>931</v>
      </c>
      <c r="L211" s="265" t="s">
        <v>932</v>
      </c>
      <c r="M211" s="122" t="s">
        <v>933</v>
      </c>
      <c r="N211" s="123" t="s">
        <v>58</v>
      </c>
      <c r="O211" s="147" t="e">
        <v>#N/A</v>
      </c>
    </row>
    <row r="212" spans="2:15" ht="29">
      <c r="B212" s="139">
        <v>235</v>
      </c>
      <c r="C212" s="468" t="s">
        <v>68</v>
      </c>
      <c r="D212" s="96" t="s">
        <v>921</v>
      </c>
      <c r="E212" s="96">
        <v>89100</v>
      </c>
      <c r="F212" s="96" t="s">
        <v>934</v>
      </c>
      <c r="G212" s="96" t="s">
        <v>101</v>
      </c>
      <c r="H212" s="135" t="s">
        <v>102</v>
      </c>
      <c r="I212" s="135" t="s">
        <v>36</v>
      </c>
      <c r="J212" s="269" t="s">
        <v>923</v>
      </c>
      <c r="K212" s="199" t="s">
        <v>935</v>
      </c>
      <c r="L212" s="268" t="s">
        <v>56</v>
      </c>
      <c r="M212" s="96" t="s">
        <v>936</v>
      </c>
      <c r="N212" s="243" t="s">
        <v>41</v>
      </c>
      <c r="O212" s="147" t="e">
        <v>#N/A</v>
      </c>
    </row>
    <row r="213" spans="2:15">
      <c r="B213" s="139">
        <v>236</v>
      </c>
      <c r="C213" s="468" t="s">
        <v>68</v>
      </c>
      <c r="D213" s="135" t="s">
        <v>921</v>
      </c>
      <c r="E213" s="135">
        <v>89100</v>
      </c>
      <c r="F213" s="135" t="s">
        <v>937</v>
      </c>
      <c r="G213" s="135" t="s">
        <v>101</v>
      </c>
      <c r="H213" s="135" t="s">
        <v>102</v>
      </c>
      <c r="I213" s="135" t="s">
        <v>36</v>
      </c>
      <c r="J213" s="269" t="s">
        <v>80</v>
      </c>
      <c r="K213" s="199" t="s">
        <v>582</v>
      </c>
      <c r="L213" s="268" t="s">
        <v>75</v>
      </c>
      <c r="M213" s="96" t="s">
        <v>938</v>
      </c>
      <c r="N213" s="220" t="s">
        <v>104</v>
      </c>
      <c r="O213" s="147" t="e">
        <v>#N/A</v>
      </c>
    </row>
    <row r="214" spans="2:15">
      <c r="B214" s="139">
        <v>237</v>
      </c>
      <c r="C214" s="468" t="s">
        <v>68</v>
      </c>
      <c r="D214" s="186" t="s">
        <v>921</v>
      </c>
      <c r="E214" s="186">
        <v>89100</v>
      </c>
      <c r="F214" s="186" t="s">
        <v>939</v>
      </c>
      <c r="G214" s="186" t="s">
        <v>101</v>
      </c>
      <c r="H214" s="135" t="s">
        <v>102</v>
      </c>
      <c r="I214" s="135" t="s">
        <v>36</v>
      </c>
      <c r="J214" s="272" t="s">
        <v>80</v>
      </c>
      <c r="K214" s="186" t="s">
        <v>940</v>
      </c>
      <c r="L214" s="268" t="s">
        <v>75</v>
      </c>
      <c r="M214" s="186" t="s">
        <v>941</v>
      </c>
      <c r="N214" s="334" t="s">
        <v>104</v>
      </c>
      <c r="O214" s="147" t="e">
        <v>#N/A</v>
      </c>
    </row>
    <row r="215" spans="2:15" ht="29">
      <c r="B215" s="139">
        <v>238</v>
      </c>
      <c r="C215" s="333" t="s">
        <v>68</v>
      </c>
      <c r="D215" s="119" t="s">
        <v>921</v>
      </c>
      <c r="E215" s="119" t="s">
        <v>927</v>
      </c>
      <c r="F215" s="119" t="s">
        <v>942</v>
      </c>
      <c r="G215" s="121" t="s">
        <v>60</v>
      </c>
      <c r="H215" s="119" t="s">
        <v>929</v>
      </c>
      <c r="I215" s="119" t="s">
        <v>53</v>
      </c>
      <c r="J215" s="276" t="s">
        <v>943</v>
      </c>
      <c r="K215" s="178" t="s">
        <v>931</v>
      </c>
      <c r="L215" s="276" t="s">
        <v>932</v>
      </c>
      <c r="M215" s="215" t="s">
        <v>56</v>
      </c>
      <c r="N215" s="231" t="s">
        <v>944</v>
      </c>
      <c r="O215" s="147" t="e">
        <v>#N/A</v>
      </c>
    </row>
    <row r="216" spans="2:15" ht="43.5">
      <c r="B216" s="139">
        <v>239</v>
      </c>
      <c r="C216" s="473" t="s">
        <v>68</v>
      </c>
      <c r="D216" s="193" t="s">
        <v>921</v>
      </c>
      <c r="E216" s="193" t="s">
        <v>927</v>
      </c>
      <c r="F216" s="193" t="s">
        <v>945</v>
      </c>
      <c r="G216" s="193" t="s">
        <v>9</v>
      </c>
      <c r="H216" s="185" t="s">
        <v>929</v>
      </c>
      <c r="I216" s="193" t="s">
        <v>53</v>
      </c>
      <c r="J216" s="280" t="s">
        <v>946</v>
      </c>
      <c r="K216" s="193" t="s">
        <v>931</v>
      </c>
      <c r="L216" s="280" t="s">
        <v>932</v>
      </c>
      <c r="M216" s="216" t="s">
        <v>56</v>
      </c>
      <c r="N216" s="247" t="s">
        <v>947</v>
      </c>
      <c r="O216" s="147" t="e">
        <v>#N/A</v>
      </c>
    </row>
    <row r="217" spans="2:15" ht="29">
      <c r="B217" s="139">
        <v>192</v>
      </c>
      <c r="C217" s="472" t="s">
        <v>42</v>
      </c>
      <c r="D217" s="178" t="s">
        <v>948</v>
      </c>
      <c r="E217" s="178">
        <v>71100</v>
      </c>
      <c r="F217" s="178" t="s">
        <v>949</v>
      </c>
      <c r="G217" s="179" t="s">
        <v>60</v>
      </c>
      <c r="H217" s="178" t="s">
        <v>950</v>
      </c>
      <c r="I217" s="178" t="s">
        <v>53</v>
      </c>
      <c r="J217" s="65" t="s">
        <v>951</v>
      </c>
      <c r="K217" s="178" t="s">
        <v>952</v>
      </c>
      <c r="L217" s="65" t="s">
        <v>953</v>
      </c>
      <c r="M217" s="455" t="s">
        <v>954</v>
      </c>
      <c r="N217" s="455" t="s">
        <v>955</v>
      </c>
      <c r="O217" s="147" t="e">
        <v>#N/A</v>
      </c>
    </row>
    <row r="218" spans="2:15" ht="29">
      <c r="B218" s="139">
        <v>193</v>
      </c>
      <c r="C218" s="478" t="s">
        <v>42</v>
      </c>
      <c r="D218" s="118" t="s">
        <v>948</v>
      </c>
      <c r="E218" s="118" t="s">
        <v>320</v>
      </c>
      <c r="F218" s="118" t="s">
        <v>956</v>
      </c>
      <c r="G218" s="117" t="s">
        <v>113</v>
      </c>
      <c r="H218" s="118" t="s">
        <v>950</v>
      </c>
      <c r="I218" s="118" t="s">
        <v>53</v>
      </c>
      <c r="J218" s="287" t="s">
        <v>951</v>
      </c>
      <c r="K218" s="118" t="s">
        <v>952</v>
      </c>
      <c r="L218" s="287" t="s">
        <v>953</v>
      </c>
      <c r="M218" s="236" t="s">
        <v>957</v>
      </c>
      <c r="N218" s="236" t="s">
        <v>958</v>
      </c>
      <c r="O218" s="147" t="e">
        <v>#N/A</v>
      </c>
    </row>
    <row r="219" spans="2:15" ht="43.5">
      <c r="B219" s="139">
        <v>141</v>
      </c>
      <c r="C219" s="422" t="s">
        <v>31</v>
      </c>
      <c r="D219" s="250" t="s">
        <v>959</v>
      </c>
      <c r="E219" s="250">
        <v>39200</v>
      </c>
      <c r="F219" s="250" t="s">
        <v>960</v>
      </c>
      <c r="G219" s="250" t="s">
        <v>78</v>
      </c>
      <c r="H219" s="250" t="s">
        <v>645</v>
      </c>
      <c r="I219" s="250" t="s">
        <v>36</v>
      </c>
      <c r="J219" s="260" t="s">
        <v>625</v>
      </c>
      <c r="K219" s="252" t="s">
        <v>626</v>
      </c>
      <c r="L219" s="260" t="s">
        <v>894</v>
      </c>
      <c r="M219" s="251" t="s">
        <v>961</v>
      </c>
      <c r="N219" s="258" t="s">
        <v>962</v>
      </c>
      <c r="O219" s="147" t="e">
        <v>#N/A</v>
      </c>
    </row>
    <row r="220" spans="2:15" ht="44.5" customHeight="1">
      <c r="B220" s="139">
        <v>159</v>
      </c>
      <c r="C220" s="190" t="s">
        <v>357</v>
      </c>
      <c r="D220" s="135" t="s">
        <v>963</v>
      </c>
      <c r="E220" s="135" t="s">
        <v>801</v>
      </c>
      <c r="F220" s="135" t="s">
        <v>964</v>
      </c>
      <c r="G220" s="135" t="s">
        <v>34</v>
      </c>
      <c r="H220" s="135" t="s">
        <v>79</v>
      </c>
      <c r="I220" s="135" t="s">
        <v>36</v>
      </c>
      <c r="J220" s="269" t="s">
        <v>804</v>
      </c>
      <c r="K220" s="199" t="s">
        <v>809</v>
      </c>
      <c r="L220" s="61" t="s">
        <v>56</v>
      </c>
      <c r="M220" s="96" t="s">
        <v>965</v>
      </c>
      <c r="N220" s="134" t="s">
        <v>41</v>
      </c>
      <c r="O220" s="147" t="e">
        <v>#N/A</v>
      </c>
    </row>
    <row r="221" spans="2:15" ht="29">
      <c r="B221" s="139">
        <v>205</v>
      </c>
      <c r="C221" s="389" t="s">
        <v>152</v>
      </c>
      <c r="D221" s="104" t="s">
        <v>966</v>
      </c>
      <c r="E221" s="104">
        <v>90400</v>
      </c>
      <c r="F221" s="104" t="s">
        <v>967</v>
      </c>
      <c r="G221" s="104" t="s">
        <v>665</v>
      </c>
      <c r="H221" s="104" t="s">
        <v>203</v>
      </c>
      <c r="I221" s="104" t="s">
        <v>53</v>
      </c>
      <c r="J221" s="511" t="s">
        <v>204</v>
      </c>
      <c r="K221" s="200" t="s">
        <v>205</v>
      </c>
      <c r="L221" s="264" t="s">
        <v>206</v>
      </c>
      <c r="M221" s="122" t="s">
        <v>968</v>
      </c>
      <c r="N221" s="123" t="s">
        <v>96</v>
      </c>
      <c r="O221" s="161" t="s">
        <v>161</v>
      </c>
    </row>
    <row r="222" spans="2:15" ht="72" customHeight="1">
      <c r="B222" s="139">
        <v>206</v>
      </c>
      <c r="C222" s="190" t="s">
        <v>152</v>
      </c>
      <c r="D222" s="135" t="s">
        <v>966</v>
      </c>
      <c r="E222" s="135">
        <v>90400</v>
      </c>
      <c r="F222" s="135" t="s">
        <v>969</v>
      </c>
      <c r="G222" s="135" t="s">
        <v>101</v>
      </c>
      <c r="H222" s="135" t="s">
        <v>970</v>
      </c>
      <c r="I222" s="135" t="s">
        <v>36</v>
      </c>
      <c r="J222" s="269" t="s">
        <v>971</v>
      </c>
      <c r="K222" s="199" t="s">
        <v>972</v>
      </c>
      <c r="L222" s="269" t="s">
        <v>75</v>
      </c>
      <c r="M222" s="96" t="s">
        <v>973</v>
      </c>
      <c r="N222" s="96" t="s">
        <v>104</v>
      </c>
      <c r="O222" s="161" t="s">
        <v>161</v>
      </c>
    </row>
    <row r="223" spans="2:15" ht="29">
      <c r="B223" s="139">
        <v>84</v>
      </c>
      <c r="C223" s="190" t="s">
        <v>145</v>
      </c>
      <c r="D223" s="135" t="s">
        <v>974</v>
      </c>
      <c r="E223" s="135">
        <v>25800</v>
      </c>
      <c r="F223" s="135" t="s">
        <v>975</v>
      </c>
      <c r="G223" s="135" t="s">
        <v>101</v>
      </c>
      <c r="H223" s="135" t="s">
        <v>615</v>
      </c>
      <c r="I223" s="135" t="s">
        <v>36</v>
      </c>
      <c r="J223" s="269" t="s">
        <v>259</v>
      </c>
      <c r="K223" s="199">
        <v>381830332</v>
      </c>
      <c r="L223" s="273" t="s">
        <v>56</v>
      </c>
      <c r="M223" s="96" t="s">
        <v>617</v>
      </c>
      <c r="N223" s="96" t="s">
        <v>104</v>
      </c>
      <c r="O223" s="410" t="e">
        <v>#N/A</v>
      </c>
    </row>
    <row r="224" spans="2:15" ht="64.5" customHeight="1">
      <c r="B224" s="139">
        <v>103</v>
      </c>
      <c r="C224" s="466" t="s">
        <v>532</v>
      </c>
      <c r="D224" s="171" t="s">
        <v>976</v>
      </c>
      <c r="E224" s="171" t="s">
        <v>977</v>
      </c>
      <c r="F224" s="171" t="s">
        <v>978</v>
      </c>
      <c r="G224" s="171" t="s">
        <v>5</v>
      </c>
      <c r="H224" s="171" t="s">
        <v>535</v>
      </c>
      <c r="I224" s="171" t="s">
        <v>36</v>
      </c>
      <c r="J224" s="297" t="s">
        <v>979</v>
      </c>
      <c r="K224" s="201">
        <v>384767575</v>
      </c>
      <c r="L224" s="103" t="s">
        <v>538</v>
      </c>
      <c r="M224" s="172" t="s">
        <v>980</v>
      </c>
      <c r="N224" s="460" t="s">
        <v>981</v>
      </c>
      <c r="O224" s="410" t="e">
        <v>#N/A</v>
      </c>
    </row>
    <row r="225" spans="2:15" ht="65.5" customHeight="1">
      <c r="B225" s="139">
        <v>104</v>
      </c>
      <c r="C225" s="479" t="s">
        <v>532</v>
      </c>
      <c r="D225" s="259" t="s">
        <v>976</v>
      </c>
      <c r="E225" s="259" t="s">
        <v>977</v>
      </c>
      <c r="F225" s="259" t="s">
        <v>978</v>
      </c>
      <c r="G225" s="259" t="s">
        <v>78</v>
      </c>
      <c r="H225" s="259" t="s">
        <v>535</v>
      </c>
      <c r="I225" s="259" t="s">
        <v>36</v>
      </c>
      <c r="J225" s="261" t="s">
        <v>586</v>
      </c>
      <c r="K225" s="254" t="s">
        <v>587</v>
      </c>
      <c r="L225" s="260" t="s">
        <v>538</v>
      </c>
      <c r="M225" s="251" t="s">
        <v>982</v>
      </c>
      <c r="N225" s="256" t="s">
        <v>983</v>
      </c>
      <c r="O225" s="161" t="e">
        <v>#N/A</v>
      </c>
    </row>
    <row r="226" spans="2:15" ht="66.650000000000006" customHeight="1">
      <c r="B226" s="139">
        <v>105</v>
      </c>
      <c r="C226" s="389" t="s">
        <v>532</v>
      </c>
      <c r="D226" s="104" t="s">
        <v>976</v>
      </c>
      <c r="E226" s="104">
        <v>70000</v>
      </c>
      <c r="F226" s="104" t="s">
        <v>984</v>
      </c>
      <c r="G226" s="104" t="s">
        <v>665</v>
      </c>
      <c r="H226" s="104" t="s">
        <v>666</v>
      </c>
      <c r="I226" s="104" t="s">
        <v>53</v>
      </c>
      <c r="J226" s="264" t="s">
        <v>667</v>
      </c>
      <c r="K226" s="200" t="s">
        <v>668</v>
      </c>
      <c r="L226" s="264" t="s">
        <v>669</v>
      </c>
      <c r="M226" s="122" t="s">
        <v>670</v>
      </c>
      <c r="N226" s="122" t="s">
        <v>671</v>
      </c>
      <c r="O226" s="161" t="e">
        <v>#N/A</v>
      </c>
    </row>
    <row r="227" spans="2:15" ht="92.5" customHeight="1">
      <c r="B227" s="139">
        <v>106</v>
      </c>
      <c r="C227" s="468" t="s">
        <v>532</v>
      </c>
      <c r="D227" s="186" t="s">
        <v>976</v>
      </c>
      <c r="E227" s="186" t="s">
        <v>977</v>
      </c>
      <c r="F227" s="186" t="s">
        <v>978</v>
      </c>
      <c r="G227" s="186" t="s">
        <v>97</v>
      </c>
      <c r="H227" s="186" t="s">
        <v>535</v>
      </c>
      <c r="I227" s="186" t="s">
        <v>36</v>
      </c>
      <c r="J227" s="268" t="s">
        <v>586</v>
      </c>
      <c r="K227" s="205" t="s">
        <v>587</v>
      </c>
      <c r="L227" s="269" t="s">
        <v>538</v>
      </c>
      <c r="M227" s="100" t="s">
        <v>985</v>
      </c>
      <c r="N227" s="592" t="s">
        <v>986</v>
      </c>
      <c r="O227" s="161" t="e">
        <v>#N/A</v>
      </c>
    </row>
    <row r="228" spans="2:15" ht="29">
      <c r="B228" s="482">
        <v>107</v>
      </c>
      <c r="C228" s="190" t="s">
        <v>532</v>
      </c>
      <c r="D228" s="135" t="s">
        <v>976</v>
      </c>
      <c r="E228" s="135">
        <v>70000</v>
      </c>
      <c r="F228" s="135" t="s">
        <v>987</v>
      </c>
      <c r="G228" s="135" t="s">
        <v>101</v>
      </c>
      <c r="H228" s="135" t="s">
        <v>541</v>
      </c>
      <c r="I228" s="135" t="s">
        <v>36</v>
      </c>
      <c r="J228" s="268" t="s">
        <v>542</v>
      </c>
      <c r="K228" s="205" t="s">
        <v>988</v>
      </c>
      <c r="L228" s="268" t="s">
        <v>538</v>
      </c>
      <c r="M228" s="100" t="s">
        <v>989</v>
      </c>
      <c r="N228" s="248" t="s">
        <v>104</v>
      </c>
      <c r="O228" s="161" t="e">
        <v>#N/A</v>
      </c>
    </row>
    <row r="229" spans="2:15" ht="29">
      <c r="B229" s="139">
        <v>108</v>
      </c>
      <c r="C229" s="190" t="s">
        <v>532</v>
      </c>
      <c r="D229" s="135" t="s">
        <v>976</v>
      </c>
      <c r="E229" s="135">
        <v>70000</v>
      </c>
      <c r="F229" s="135" t="s">
        <v>990</v>
      </c>
      <c r="G229" s="135" t="s">
        <v>101</v>
      </c>
      <c r="H229" s="135" t="s">
        <v>541</v>
      </c>
      <c r="I229" s="135" t="s">
        <v>36</v>
      </c>
      <c r="J229" s="268" t="s">
        <v>586</v>
      </c>
      <c r="K229" s="205" t="s">
        <v>587</v>
      </c>
      <c r="L229" s="268" t="s">
        <v>538</v>
      </c>
      <c r="M229" s="100" t="s">
        <v>991</v>
      </c>
      <c r="N229" s="100" t="s">
        <v>992</v>
      </c>
      <c r="O229" s="502" t="e">
        <v>#N/A</v>
      </c>
    </row>
    <row r="230" spans="2:15" ht="29">
      <c r="B230" s="139">
        <v>109</v>
      </c>
      <c r="C230" s="190" t="s">
        <v>532</v>
      </c>
      <c r="D230" s="135" t="s">
        <v>976</v>
      </c>
      <c r="E230" s="135">
        <v>70000</v>
      </c>
      <c r="F230" s="135" t="s">
        <v>993</v>
      </c>
      <c r="G230" s="135" t="s">
        <v>101</v>
      </c>
      <c r="H230" s="135" t="s">
        <v>541</v>
      </c>
      <c r="I230" s="135" t="s">
        <v>36</v>
      </c>
      <c r="J230" s="270" t="s">
        <v>586</v>
      </c>
      <c r="K230" s="186" t="s">
        <v>994</v>
      </c>
      <c r="L230" s="268" t="s">
        <v>538</v>
      </c>
      <c r="M230" s="186" t="s">
        <v>995</v>
      </c>
      <c r="N230" s="186" t="s">
        <v>104</v>
      </c>
      <c r="O230" s="502" t="e">
        <v>#N/A</v>
      </c>
    </row>
    <row r="231" spans="2:15" ht="29">
      <c r="B231" s="139">
        <v>110</v>
      </c>
      <c r="C231" s="333" t="s">
        <v>532</v>
      </c>
      <c r="D231" s="119" t="s">
        <v>976</v>
      </c>
      <c r="E231" s="119" t="s">
        <v>977</v>
      </c>
      <c r="F231" s="119" t="s">
        <v>996</v>
      </c>
      <c r="G231" s="121" t="s">
        <v>60</v>
      </c>
      <c r="H231" s="119" t="s">
        <v>997</v>
      </c>
      <c r="I231" s="119" t="s">
        <v>53</v>
      </c>
      <c r="J231" s="276" t="s">
        <v>667</v>
      </c>
      <c r="K231" s="178" t="s">
        <v>998</v>
      </c>
      <c r="L231" s="276" t="s">
        <v>669</v>
      </c>
      <c r="M231" s="215" t="s">
        <v>41</v>
      </c>
      <c r="N231" s="455" t="s">
        <v>999</v>
      </c>
      <c r="O231" s="502" t="e">
        <v>#N/A</v>
      </c>
    </row>
    <row r="232" spans="2:15" ht="58">
      <c r="B232" s="139">
        <v>111</v>
      </c>
      <c r="C232" s="189" t="s">
        <v>532</v>
      </c>
      <c r="D232" s="93" t="s">
        <v>976</v>
      </c>
      <c r="E232" s="93" t="s">
        <v>977</v>
      </c>
      <c r="F232" s="93" t="s">
        <v>1000</v>
      </c>
      <c r="G232" s="93" t="s">
        <v>9</v>
      </c>
      <c r="H232" s="93" t="s">
        <v>997</v>
      </c>
      <c r="I232" s="93" t="s">
        <v>53</v>
      </c>
      <c r="J232" s="280" t="s">
        <v>667</v>
      </c>
      <c r="K232" s="193" t="s">
        <v>1001</v>
      </c>
      <c r="L232" s="280" t="s">
        <v>669</v>
      </c>
      <c r="M232" s="215" t="s">
        <v>41</v>
      </c>
      <c r="N232" s="587" t="s">
        <v>1002</v>
      </c>
      <c r="O232" s="502" t="e">
        <v>#N/A</v>
      </c>
    </row>
    <row r="233" spans="2:15" ht="29">
      <c r="B233" s="139">
        <v>112</v>
      </c>
      <c r="C233" s="478" t="s">
        <v>532</v>
      </c>
      <c r="D233" s="118" t="s">
        <v>976</v>
      </c>
      <c r="E233" s="118" t="s">
        <v>977</v>
      </c>
      <c r="F233" s="118" t="s">
        <v>1000</v>
      </c>
      <c r="G233" s="117" t="s">
        <v>113</v>
      </c>
      <c r="H233" s="118" t="s">
        <v>997</v>
      </c>
      <c r="I233" s="118" t="s">
        <v>53</v>
      </c>
      <c r="J233" s="288" t="s">
        <v>667</v>
      </c>
      <c r="K233" s="208" t="s">
        <v>1001</v>
      </c>
      <c r="L233" s="288" t="s">
        <v>669</v>
      </c>
      <c r="M233" s="215" t="s">
        <v>175</v>
      </c>
      <c r="N233" s="496" t="s">
        <v>114</v>
      </c>
      <c r="O233" s="502" t="e">
        <v>#N/A</v>
      </c>
    </row>
    <row r="234" spans="2:15" ht="29">
      <c r="B234" s="139">
        <v>113</v>
      </c>
      <c r="C234" s="477" t="s">
        <v>532</v>
      </c>
      <c r="D234" s="182" t="s">
        <v>976</v>
      </c>
      <c r="E234" s="182" t="s">
        <v>977</v>
      </c>
      <c r="F234" s="182" t="s">
        <v>1003</v>
      </c>
      <c r="G234" s="183" t="s">
        <v>11</v>
      </c>
      <c r="H234" s="182" t="s">
        <v>997</v>
      </c>
      <c r="I234" s="182" t="s">
        <v>53</v>
      </c>
      <c r="J234" s="295" t="s">
        <v>667</v>
      </c>
      <c r="K234" s="209" t="s">
        <v>1004</v>
      </c>
      <c r="L234" s="295" t="s">
        <v>669</v>
      </c>
      <c r="M234" s="209" t="s">
        <v>1005</v>
      </c>
      <c r="N234" s="593" t="s">
        <v>116</v>
      </c>
      <c r="O234" s="502" t="e">
        <v>#N/A</v>
      </c>
    </row>
    <row r="235" spans="2:15" ht="29">
      <c r="B235" s="139">
        <v>114</v>
      </c>
      <c r="C235" s="422" t="s">
        <v>532</v>
      </c>
      <c r="D235" s="251" t="s">
        <v>976</v>
      </c>
      <c r="E235" s="257">
        <v>70000</v>
      </c>
      <c r="F235" s="251" t="s">
        <v>1006</v>
      </c>
      <c r="G235" s="251" t="s">
        <v>78</v>
      </c>
      <c r="H235" s="251" t="s">
        <v>693</v>
      </c>
      <c r="I235" s="251" t="s">
        <v>36</v>
      </c>
      <c r="J235" s="260" t="s">
        <v>586</v>
      </c>
      <c r="K235" s="252" t="s">
        <v>587</v>
      </c>
      <c r="L235" s="585" t="s">
        <v>538</v>
      </c>
      <c r="M235" s="216"/>
      <c r="N235" s="255" t="s">
        <v>694</v>
      </c>
      <c r="O235" s="147" t="e">
        <v>#N/A</v>
      </c>
    </row>
    <row r="236" spans="2:15" ht="42" customHeight="1">
      <c r="B236" s="139">
        <v>115</v>
      </c>
      <c r="C236" s="468" t="s">
        <v>532</v>
      </c>
      <c r="D236" s="568" t="s">
        <v>1007</v>
      </c>
      <c r="E236" s="568">
        <v>70000</v>
      </c>
      <c r="F236" s="568" t="s">
        <v>1008</v>
      </c>
      <c r="G236" s="468" t="s">
        <v>101</v>
      </c>
      <c r="H236" s="468" t="s">
        <v>535</v>
      </c>
      <c r="I236" s="568" t="s">
        <v>36</v>
      </c>
      <c r="J236" s="574" t="s">
        <v>1009</v>
      </c>
      <c r="K236" s="579" t="s">
        <v>587</v>
      </c>
      <c r="L236" s="574" t="s">
        <v>538</v>
      </c>
      <c r="M236" s="568" t="s">
        <v>1010</v>
      </c>
      <c r="N236" s="568" t="s">
        <v>1011</v>
      </c>
      <c r="O236" s="502" t="e">
        <v>#N/A</v>
      </c>
    </row>
  </sheetData>
  <mergeCells count="1">
    <mergeCell ref="C3:N3"/>
  </mergeCells>
  <phoneticPr fontId="8" type="noConversion"/>
  <hyperlinks>
    <hyperlink ref="J8" r:id="rId1" xr:uid="{00000000-0004-0000-0100-000000000000}"/>
    <hyperlink ref="J211" r:id="rId2" xr:uid="{00000000-0004-0000-0100-000001000000}"/>
    <hyperlink ref="L14" r:id="rId3" xr:uid="{00000000-0004-0000-0100-000002000000}"/>
    <hyperlink ref="L137" r:id="rId4" xr:uid="{00000000-0004-0000-0100-000003000000}"/>
    <hyperlink ref="L226" r:id="rId5" xr:uid="{00000000-0004-0000-0100-000004000000}"/>
    <hyperlink ref="L130" r:id="rId6" xr:uid="{00000000-0004-0000-0100-000005000000}"/>
    <hyperlink ref="L93" r:id="rId7" xr:uid="{00000000-0004-0000-0100-000006000000}"/>
    <hyperlink ref="L13" r:id="rId8" xr:uid="{00000000-0004-0000-0100-000007000000}"/>
    <hyperlink ref="L37" r:id="rId9" xr:uid="{00000000-0004-0000-0100-000008000000}"/>
    <hyperlink ref="L201" r:id="rId10" xr:uid="{00000000-0004-0000-0100-000009000000}"/>
    <hyperlink ref="J201" r:id="rId11" xr:uid="{00000000-0004-0000-0100-00000A000000}"/>
    <hyperlink ref="J117" r:id="rId12" xr:uid="{00000000-0004-0000-0100-00000B000000}"/>
    <hyperlink ref="J85" r:id="rId13" xr:uid="{00000000-0004-0000-0100-00000C000000}"/>
    <hyperlink ref="J81" r:id="rId14" xr:uid="{00000000-0004-0000-0100-00000D000000}"/>
    <hyperlink ref="J146" r:id="rId15" xr:uid="{00000000-0004-0000-0100-000010000000}"/>
    <hyperlink ref="J82" r:id="rId16" xr:uid="{00000000-0004-0000-0100-000011000000}"/>
    <hyperlink ref="J9" r:id="rId17" xr:uid="{00000000-0004-0000-0100-000014000000}"/>
    <hyperlink ref="J10" r:id="rId18" display="http://ch-autun.fr/contact/_x000a_Macon : " xr:uid="{00000000-0004-0000-0100-000015000000}"/>
    <hyperlink ref="J234" r:id="rId19" xr:uid="{00000000-0004-0000-0100-000018000000}"/>
    <hyperlink ref="L22" r:id="rId20" xr:uid="{00000000-0004-0000-0100-000019000000}"/>
    <hyperlink ref="J131" r:id="rId21" xr:uid="{00000000-0004-0000-0100-00001A000000}"/>
    <hyperlink ref="J217" r:id="rId22" xr:uid="{00000000-0004-0000-0100-00001B000000}"/>
    <hyperlink ref="J215" r:id="rId23" display="contact@ch-sens.fr" xr:uid="{00000000-0004-0000-0100-00001C000000}"/>
    <hyperlink ref="J38" r:id="rId24" xr:uid="{00000000-0004-0000-0100-00001D000000}"/>
    <hyperlink ref="J140" r:id="rId25" display="direction.generale@hopitaux-jura.fr" xr:uid="{00000000-0004-0000-0100-00001E000000}"/>
    <hyperlink ref="J231" r:id="rId26" xr:uid="{00000000-0004-0000-0100-00001F000000}"/>
    <hyperlink ref="L18" r:id="rId27" xr:uid="{00000000-0004-0000-0100-000020000000}"/>
    <hyperlink ref="L202" r:id="rId28" xr:uid="{00000000-0004-0000-0100-000021000000}"/>
    <hyperlink ref="L140" r:id="rId29" xr:uid="{00000000-0004-0000-0100-000022000000}"/>
    <hyperlink ref="J233" r:id="rId30" xr:uid="{00000000-0004-0000-0100-000023000000}"/>
    <hyperlink ref="L21" r:id="rId31" xr:uid="{00000000-0004-0000-0100-000024000000}"/>
    <hyperlink ref="L101" r:id="rId32" xr:uid="{00000000-0004-0000-0100-000025000000}"/>
    <hyperlink ref="J170" r:id="rId33" xr:uid="{00000000-0004-0000-0100-000026000000}"/>
    <hyperlink ref="J216" r:id="rId34" display="contact@ch-sens.fr" xr:uid="{00000000-0004-0000-0100-000027000000}"/>
    <hyperlink ref="J110" r:id="rId35" xr:uid="{00000000-0004-0000-0100-000028000000}"/>
    <hyperlink ref="J232" r:id="rId36" xr:uid="{00000000-0004-0000-0100-00002A000000}"/>
    <hyperlink ref="L20" r:id="rId37" xr:uid="{00000000-0004-0000-0100-00002B000000}"/>
    <hyperlink ref="L98" r:id="rId38" xr:uid="{00000000-0004-0000-0100-00002C000000}"/>
    <hyperlink ref="L41" r:id="rId39" xr:uid="{00000000-0004-0000-0100-00002E000000}"/>
    <hyperlink ref="L166" r:id="rId40" xr:uid="{00000000-0004-0000-0100-00002F000000}"/>
    <hyperlink ref="L120" r:id="rId41" xr:uid="{00000000-0004-0000-0100-000030000000}"/>
    <hyperlink ref="L167" r:id="rId42" xr:uid="{00000000-0004-0000-0100-000031000000}"/>
    <hyperlink ref="L189" r:id="rId43" xr:uid="{00000000-0004-0000-0100-000032000000}"/>
    <hyperlink ref="L192" r:id="rId44" xr:uid="{00000000-0004-0000-0100-000033000000}"/>
    <hyperlink ref="L40" r:id="rId45" xr:uid="{00000000-0004-0000-0100-000034000000}"/>
    <hyperlink ref="L88" r:id="rId46" xr:uid="{00000000-0004-0000-0100-000035000000}"/>
    <hyperlink ref="L132" r:id="rId47" xr:uid="{00000000-0004-0000-0100-000036000000}"/>
    <hyperlink ref="L158" r:id="rId48" xr:uid="{00000000-0004-0000-0100-000037000000}"/>
    <hyperlink ref="L119" r:id="rId49" xr:uid="{00000000-0004-0000-0100-000038000000}"/>
    <hyperlink ref="L165" r:id="rId50" xr:uid="{00000000-0004-0000-0100-000039000000}"/>
    <hyperlink ref="L45" r:id="rId51" xr:uid="{00000000-0004-0000-0100-00003A000000}"/>
    <hyperlink ref="L111" r:id="rId52" xr:uid="{00000000-0004-0000-0100-00003B000000}"/>
    <hyperlink ref="J227" r:id="rId53" xr:uid="{00000000-0004-0000-0100-00003C000000}"/>
    <hyperlink ref="L230" r:id="rId54" xr:uid="{00000000-0004-0000-0100-00003D000000}"/>
    <hyperlink ref="J230" r:id="rId55" xr:uid="{00000000-0004-0000-0100-00003E000000}"/>
    <hyperlink ref="J145" r:id="rId56" xr:uid="{00000000-0004-0000-0100-00003F000000}"/>
    <hyperlink ref="J84" r:id="rId57" xr:uid="{00000000-0004-0000-0100-000040000000}"/>
    <hyperlink ref="J104" r:id="rId58" xr:uid="{00000000-0004-0000-0100-000041000000}"/>
    <hyperlink ref="J114" r:id="rId59" xr:uid="{00000000-0004-0000-0100-000042000000}"/>
    <hyperlink ref="J25" r:id="rId60" xr:uid="{00000000-0004-0000-0100-000043000000}"/>
    <hyperlink ref="J24" r:id="rId61" xr:uid="{00000000-0004-0000-0100-000044000000}"/>
    <hyperlink ref="J96" r:id="rId62" xr:uid="{00000000-0004-0000-0100-000045000000}"/>
    <hyperlink ref="J113" r:id="rId63" xr:uid="{00000000-0004-0000-0100-000046000000}"/>
    <hyperlink ref="J35" r:id="rId64" xr:uid="{00000000-0004-0000-0100-000047000000}"/>
    <hyperlink ref="L81" r:id="rId65" xr:uid="{00000000-0004-0000-0100-000048000000}"/>
    <hyperlink ref="L71" r:id="rId66" xr:uid="{00000000-0004-0000-0100-000049000000}"/>
    <hyperlink ref="L72" r:id="rId67" xr:uid="{00000000-0004-0000-0100-00004A000000}"/>
    <hyperlink ref="J44" r:id="rId68" display="csapa.belfort@addictions-france.org_x000a_" xr:uid="{00000000-0004-0000-0100-00004B000000}"/>
    <hyperlink ref="J135" r:id="rId69" xr:uid="{00000000-0004-0000-0100-00004C000000}"/>
    <hyperlink ref="J46" r:id="rId70" xr:uid="{00000000-0004-0000-0100-00004D000000}"/>
    <hyperlink ref="J185" r:id="rId71" xr:uid="{00000000-0004-0000-0100-00004E000000}"/>
    <hyperlink ref="J141" r:id="rId72" xr:uid="{00000000-0004-0000-0100-00004F000000}"/>
    <hyperlink ref="J51" r:id="rId73" xr:uid="{00000000-0004-0000-0100-000050000000}"/>
    <hyperlink ref="L53" r:id="rId74" display="www.addsea.fr " xr:uid="{00000000-0004-0000-0100-000051000000}"/>
    <hyperlink ref="J94" r:id="rId75" xr:uid="{00000000-0004-0000-0100-000052000000}"/>
    <hyperlink ref="L135" r:id="rId76" xr:uid="{00000000-0004-0000-0100-000053000000}"/>
    <hyperlink ref="L139" r:id="rId77" xr:uid="{00000000-0004-0000-0100-000054000000}"/>
    <hyperlink ref="J142" r:id="rId78" xr:uid="{00000000-0004-0000-0100-000055000000}"/>
    <hyperlink ref="J219" r:id="rId79" xr:uid="{00000000-0004-0000-0100-000056000000}"/>
    <hyperlink ref="L188" r:id="rId80" xr:uid="{00000000-0004-0000-0100-000057000000}"/>
    <hyperlink ref="L141" r:id="rId81" xr:uid="{00000000-0004-0000-0100-000058000000}"/>
    <hyperlink ref="J132" r:id="rId82" xr:uid="{00000000-0004-0000-0100-000059000000}"/>
    <hyperlink ref="J40" r:id="rId83" xr:uid="{00000000-0004-0000-0100-00005A000000}"/>
    <hyperlink ref="J88" r:id="rId84" xr:uid="{00000000-0004-0000-0100-00005B000000}"/>
    <hyperlink ref="J156" r:id="rId85" display="tabacologie@ch-macon.fr" xr:uid="{00000000-0004-0000-0100-00005C000000}"/>
    <hyperlink ref="L156" r:id="rId86" display="https://www.ch-macon.fr/patients-usagers/services/tabacologie/" xr:uid="{00000000-0004-0000-0100-00005D000000}"/>
    <hyperlink ref="L157" r:id="rId87" display="https://www.ch-macon.fr/patients-usagers/services/tabacologie/" xr:uid="{00000000-0004-0000-0100-00005E000000}"/>
    <hyperlink ref="J26" r:id="rId88" display="mailto:csapa.dijon@addictions-france.org" xr:uid="{00000000-0004-0000-0100-000060000000}"/>
    <hyperlink ref="L26" r:id="rId89" display="https://urldefense.com/v3/__http:/www.addictions-france.org__;!!E1R1dd1bLLODlQ4!Es8mFRAweC5ypRnrRmgKy5fS9hbkpnAdaJ9a5Nfgxl0ZYuVBi4Jzja_3lgWvifw-RfuN-RscJJWgbQPTtIwlRbvG_ESrAQEY_yxj$" xr:uid="{00000000-0004-0000-0100-000061000000}"/>
    <hyperlink ref="J27" r:id="rId90" display="mailto:csapa.dijon@addictions-france.org" xr:uid="{00000000-0004-0000-0100-000062000000}"/>
    <hyperlink ref="L27" r:id="rId91" display="https://urldefense.com/v3/__http:/www.addictions-france.org__;!!E1R1dd1bLLODlQ4!Es8mFRAweC5ypRnrRmgKy5fS9hbkpnAdaJ9a5Nfgxl0ZYuVBi4Jzja_3lgWvifw-RfuN-RscJJWgbQPTtIwlRbvG_ESrAQEY_yxj$" xr:uid="{00000000-0004-0000-0100-000063000000}"/>
    <hyperlink ref="J191" r:id="rId92" xr:uid="{00000000-0004-0000-0100-000065000000}"/>
    <hyperlink ref="J187" r:id="rId93" xr:uid="{00000000-0004-0000-0100-000066000000}"/>
    <hyperlink ref="J186" r:id="rId94" xr:uid="{00000000-0004-0000-0100-000067000000}"/>
    <hyperlink ref="J60" r:id="rId95" xr:uid="{00000000-0004-0000-0100-000068000000}"/>
    <hyperlink ref="J59" r:id="rId96" xr:uid="{00000000-0004-0000-0100-000069000000}"/>
    <hyperlink ref="J153" r:id="rId97" xr:uid="{00000000-0004-0000-0100-00006A000000}"/>
    <hyperlink ref="L200" r:id="rId98" xr:uid="{00000000-0004-0000-0100-00006B000000}"/>
    <hyperlink ref="J157" r:id="rId99" xr:uid="{8B5A27B3-8232-48A8-ABAF-197A680CFA1B}"/>
    <hyperlink ref="L217" r:id="rId100" xr:uid="{E5D89507-49EE-49A0-AC21-D92BA16FDD40}"/>
    <hyperlink ref="J50" r:id="rId101" xr:uid="{AC489C71-AD5E-4CCB-ACB5-E91A76971232}"/>
    <hyperlink ref="J138" r:id="rId102" xr:uid="{633DBA87-3944-42BA-8619-89EC300023D5}"/>
    <hyperlink ref="J83" r:id="rId103" xr:uid="{C7848928-0483-49A2-9C63-58F30A590066}"/>
    <hyperlink ref="J203" r:id="rId104" xr:uid="{1B57C7BF-73A4-460C-BD7D-DE30833F02CD}"/>
    <hyperlink ref="J6" r:id="rId105" xr:uid="{99D40088-BD44-49A3-A764-0465DE586B6D}"/>
    <hyperlink ref="L136" r:id="rId106" xr:uid="{F6640339-2015-44AA-844F-DBA6A36D29E5}"/>
    <hyperlink ref="J62" r:id="rId107" xr:uid="{34333C57-F92A-4A59-B8C0-6879CA9E9972}"/>
    <hyperlink ref="J178" r:id="rId108" xr:uid="{9150AC14-0FC0-4D19-9745-5F2D4DB7FB1F}"/>
    <hyperlink ref="L178" r:id="rId109" xr:uid="{39AEF368-8EA1-49D0-9FA3-11C4BD772F3F}"/>
    <hyperlink ref="J79" r:id="rId110" xr:uid="{6FEC27B8-DAD6-48FB-94E9-4AC5F85F1FCA}"/>
    <hyperlink ref="J75" r:id="rId111" xr:uid="{402E0CF6-C9AD-4690-B9E1-FB4B1433E0AB}"/>
    <hyperlink ref="J76" r:id="rId112" xr:uid="{9C484A1C-75B7-448C-A2B1-5A5A2C2A54A6}"/>
    <hyperlink ref="J77" r:id="rId113" xr:uid="{49EDA9B4-CF6B-4CC2-8B13-275548011BFA}"/>
    <hyperlink ref="J78" r:id="rId114" xr:uid="{F21652CC-C78A-4CC6-BB4B-B1B2844AEE18}"/>
    <hyperlink ref="J134" r:id="rId115" xr:uid="{F60AFF5C-F56D-45F3-98D9-6C8DCCBC82A3}"/>
    <hyperlink ref="J80" r:id="rId116" xr:uid="{5EED16B7-F773-4D35-B711-1129BDA55677}"/>
    <hyperlink ref="J28" r:id="rId117" xr:uid="{EBF53415-B02B-4F90-83D1-AE87AC3DDCED}"/>
    <hyperlink ref="J29" r:id="rId118" xr:uid="{55B112AD-1AAF-43D7-8255-71B953905B08}"/>
    <hyperlink ref="J30" r:id="rId119" xr:uid="{86F940A0-672D-4FED-9E08-C877A74C7CD3}"/>
    <hyperlink ref="J31" r:id="rId120" xr:uid="{2C6A7370-26DF-40FC-B8DD-1B8C6CE34822}"/>
    <hyperlink ref="J43" r:id="rId121" xr:uid="{EC79D1B3-B9E1-4C2E-B2F1-C55C3285EDF0}"/>
    <hyperlink ref="J221" r:id="rId122" xr:uid="{44380184-8AF2-44F3-8309-1257225F6AC0}"/>
    <hyperlink ref="J152" r:id="rId123" xr:uid="{9CCECDFC-5756-480A-9FC7-B4A9C53BB5C9}"/>
    <hyperlink ref="J105" r:id="rId124" xr:uid="{FFA53D57-F201-499F-8AA6-5F84202F961A}"/>
    <hyperlink ref="L105" r:id="rId125" xr:uid="{69A97EA3-52E4-4CE0-BD1D-A226DA87BA8D}"/>
  </hyperlinks>
  <pageMargins left="0.7" right="0.7" top="0.75" bottom="0.75" header="0.3" footer="0.3"/>
  <pageSetup paperSize="9" orientation="portrait" r:id="rId126"/>
  <drawing r:id="rId127"/>
  <legacyDrawing r:id="rId128"/>
  <tableParts count="1">
    <tablePart r:id="rId12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C39BE1"/>
  </sheetPr>
  <dimension ref="A1:O47"/>
  <sheetViews>
    <sheetView zoomScale="69" zoomScaleNormal="60" workbookViewId="0">
      <selection activeCell="A11" sqref="A11"/>
    </sheetView>
  </sheetViews>
  <sheetFormatPr baseColWidth="10" defaultColWidth="10.54296875" defaultRowHeight="14.5"/>
  <cols>
    <col min="1" max="1" width="16.54296875" style="48" customWidth="1"/>
    <col min="2" max="2" width="5" style="69" customWidth="1"/>
    <col min="3" max="3" width="26.54296875" style="1" customWidth="1"/>
    <col min="4" max="4" width="47" style="1" customWidth="1"/>
    <col min="5" max="5" width="24.1796875" style="1" customWidth="1"/>
    <col min="6" max="6" width="21.453125" style="1" customWidth="1"/>
    <col min="7" max="7" width="29.453125" style="1" customWidth="1"/>
    <col min="8" max="8" width="36" style="1" customWidth="1"/>
    <col min="9" max="9" width="33.81640625" style="1" customWidth="1"/>
    <col min="10" max="10" width="20.453125" style="1" customWidth="1"/>
    <col min="11" max="11" width="26.453125" style="1" customWidth="1"/>
    <col min="12" max="12" width="23.453125" style="1" customWidth="1"/>
    <col min="13" max="13" width="30" style="1" customWidth="1"/>
    <col min="14" max="14" width="36.453125" style="1" customWidth="1"/>
    <col min="15" max="15" width="71.453125" style="1" hidden="1" customWidth="1"/>
    <col min="16" max="16" width="51.453125" style="1" customWidth="1"/>
    <col min="17" max="17" width="39" style="1" customWidth="1"/>
    <col min="18" max="18" width="44.453125" style="1" customWidth="1"/>
    <col min="19" max="19" width="56.54296875" style="1" customWidth="1"/>
    <col min="20" max="20" width="50.54296875" style="1" customWidth="1"/>
    <col min="21" max="21" width="25.453125" style="1" customWidth="1"/>
    <col min="22" max="22" width="31.81640625" style="1" customWidth="1"/>
    <col min="23" max="16384" width="10.54296875" style="1"/>
  </cols>
  <sheetData>
    <row r="1" spans="1:15" ht="57.65" customHeight="1">
      <c r="B1" s="142"/>
      <c r="C1" s="48"/>
      <c r="D1" s="48"/>
      <c r="E1" s="48"/>
      <c r="F1" s="48"/>
      <c r="G1" s="48"/>
      <c r="H1" s="48"/>
      <c r="I1" s="48"/>
      <c r="J1" s="48"/>
    </row>
    <row r="3" spans="1:15" ht="18.5">
      <c r="C3" s="618" t="s">
        <v>1012</v>
      </c>
      <c r="D3" s="618"/>
      <c r="E3" s="618"/>
      <c r="F3" s="618"/>
      <c r="G3" s="618"/>
      <c r="H3" s="618"/>
      <c r="I3" s="618"/>
      <c r="J3" s="618"/>
      <c r="K3" s="618"/>
      <c r="L3" s="618"/>
      <c r="M3" s="618"/>
      <c r="N3" s="618"/>
      <c r="O3" s="618"/>
    </row>
    <row r="5" spans="1:15" ht="29">
      <c r="A5" s="49"/>
      <c r="B5" s="23" t="s">
        <v>1013</v>
      </c>
      <c r="C5" s="22" t="s">
        <v>18</v>
      </c>
      <c r="D5" s="23" t="s">
        <v>19</v>
      </c>
      <c r="E5" s="23" t="s">
        <v>20</v>
      </c>
      <c r="F5" s="23" t="s">
        <v>21</v>
      </c>
      <c r="G5" s="23" t="s">
        <v>22</v>
      </c>
      <c r="H5" s="23" t="s">
        <v>23</v>
      </c>
      <c r="I5" s="23" t="s">
        <v>24</v>
      </c>
      <c r="J5" s="23" t="s">
        <v>25</v>
      </c>
      <c r="K5" s="23" t="s">
        <v>26</v>
      </c>
      <c r="L5" s="23" t="s">
        <v>27</v>
      </c>
      <c r="M5" s="23" t="s">
        <v>28</v>
      </c>
      <c r="N5" s="24" t="s">
        <v>29</v>
      </c>
    </row>
    <row r="6" spans="1:15" ht="86.5" customHeight="1">
      <c r="B6" s="139">
        <v>2</v>
      </c>
      <c r="C6" s="135" t="str">
        <f>VLOOKUP(Tableau9[[#This Row],[Colonne1]],Tableau124[#All],2,FALSE)</f>
        <v>Côte-d’Or (21)</v>
      </c>
      <c r="D6" s="135" t="str">
        <f>VLOOKUP(Tableau9[[#This Row],[Colonne1]],Tableau124[#All],3,FALSE)</f>
        <v>Auxonne</v>
      </c>
      <c r="E6" s="135" t="str">
        <f>VLOOKUP(Tableau9[[#This Row],[Colonne1]],Tableau124[#All],4,FALSE)</f>
        <v>21121</v>
      </c>
      <c r="F6" s="135" t="str">
        <f>VLOOKUP(Tableau9[[#This Row],[Colonne1]],Tableau124[#All],5,FALSE)</f>
        <v>Centre hospitalier, 5 rue du Château 21130 Auxonne</v>
      </c>
      <c r="G6" s="135" t="str">
        <f>VLOOKUP(Tableau9[[#This Row],[Colonne1]],Tableau124[#All],6,FALSE)</f>
        <v xml:space="preserve">Antenne CSAPA </v>
      </c>
      <c r="H6" s="135" t="str">
        <f>VLOOKUP(Tableau9[[#This Row],[Colonne1]],Tableau124[#All],7,FALSE)</f>
        <v>Association Addictions France 21</v>
      </c>
      <c r="I6" s="135" t="str">
        <f>VLOOKUP(Tableau9[[#This Row],[Colonne1]],Tableau124[#All],8,FALSE)</f>
        <v>Associatif</v>
      </c>
      <c r="J6" s="275" t="str">
        <f>VLOOKUP(Tableau9[[#This Row],[Colonne1]],Tableau124[#All],9,FALSE)</f>
        <v>csapa.dijon@addictions-france.org</v>
      </c>
      <c r="K6" s="204" t="str">
        <f>VLOOKUP(Tableau9[[#This Row],[Colonne1]],Tableau124[#All],10,FALSE)</f>
        <v>03 80 73 26 32</v>
      </c>
      <c r="L6" s="275" t="str">
        <f>VLOOKUP(Tableau9[[#This Row],[Colonne1]],Tableau124[#All],11,FALSE)</f>
        <v>www.addictions-france.org</v>
      </c>
      <c r="M6" s="226" t="str">
        <f>VLOOKUP(Tableau9[[#This Row],[Colonne1]],Tableau124[#All],12,FALSE)</f>
        <v>Jeudi 9h-12h30 13h-16h</v>
      </c>
      <c r="N6" s="134" t="str">
        <f>VLOOKUP(Tableau9[[#This Row],[Colonne1]],Tableau124[#All],13,FALSE)</f>
        <v xml:space="preserve">  </v>
      </c>
    </row>
    <row r="7" spans="1:15" ht="86.5" customHeight="1">
      <c r="B7" s="139">
        <v>1</v>
      </c>
      <c r="C7" s="180" t="str">
        <f>VLOOKUP(Tableau9[[#This Row],[Colonne1]],Tableau124[#All],2,FALSE)</f>
        <v>Côte-d’Or (21)</v>
      </c>
      <c r="D7" s="180" t="str">
        <f>VLOOKUP(Tableau9[[#This Row],[Colonne1]],Tableau124[#All],3,FALSE)</f>
        <v>Auxonne</v>
      </c>
      <c r="E7" s="180" t="str">
        <f>VLOOKUP(Tableau9[[#This Row],[Colonne1]],Tableau124[#All],4,FALSE)</f>
        <v>21121</v>
      </c>
      <c r="F7" s="180" t="str">
        <f>VLOOKUP(Tableau9[[#This Row],[Colonne1]],Tableau124[#All],5,FALSE)</f>
        <v>Centre hospitalier, 5 rue du Château 21130 Auxonne</v>
      </c>
      <c r="G7" s="180" t="str">
        <f>VLOOKUP(Tableau9[[#This Row],[Colonne1]],Tableau124[#All],6,FALSE)</f>
        <v>CJC</v>
      </c>
      <c r="H7" s="180" t="str">
        <f>VLOOKUP(Tableau9[[#This Row],[Colonne1]],Tableau124[#All],7,FALSE)</f>
        <v>Association Addictions France 21</v>
      </c>
      <c r="I7" s="180" t="str">
        <f>VLOOKUP(Tableau9[[#This Row],[Colonne1]],Tableau124[#All],8,FALSE)</f>
        <v>Associatif</v>
      </c>
      <c r="J7" s="305" t="str">
        <f>VLOOKUP(Tableau9[[#This Row],[Colonne1]],Tableau124[#All],9,FALSE)</f>
        <v>csapa.dijon@addictions-france.org</v>
      </c>
      <c r="K7" s="202" t="str">
        <f>VLOOKUP(Tableau9[[#This Row],[Colonne1]],Tableau124[#All],10,FALSE)</f>
        <v>03 80 73 26 32</v>
      </c>
      <c r="L7" s="317" t="str">
        <f>VLOOKUP(Tableau9[[#This Row],[Colonne1]],Tableau124[#All],11,FALSE)</f>
        <v>www.addictions-france.org</v>
      </c>
      <c r="M7" s="230" t="str">
        <f>VLOOKUP(Tableau9[[#This Row],[Colonne1]],Tableau124[#All],12,FALSE)</f>
        <v>jeudi : 9h-12h30 13h-16h</v>
      </c>
      <c r="N7" s="134" t="str">
        <f>VLOOKUP(Tableau9[[#This Row],[Colonne1]],Tableau124[#All],13,FALSE)</f>
        <v xml:space="preserve">  </v>
      </c>
    </row>
    <row r="8" spans="1:15" ht="86.5" customHeight="1">
      <c r="B8" s="139">
        <v>3</v>
      </c>
      <c r="C8" s="135" t="str">
        <f>VLOOKUP(Tableau9[[#This Row],[Colonne1]],Tableau124[#All],2,FALSE)</f>
        <v>Côte-d’Or (21)</v>
      </c>
      <c r="D8" s="135" t="str">
        <f>VLOOKUP(Tableau9[[#This Row],[Colonne1]],Tableau124[#All],3,FALSE)</f>
        <v>Beaune</v>
      </c>
      <c r="E8" s="135">
        <f>VLOOKUP(Tableau9[[#This Row],[Colonne1]],Tableau124[#All],4,FALSE)</f>
        <v>21200</v>
      </c>
      <c r="F8" s="135" t="str">
        <f>VLOOKUP(Tableau9[[#This Row],[Colonne1]],Tableau124[#All],5,FALSE)</f>
        <v>10, avenue Jaffelin 21200 Beaune</v>
      </c>
      <c r="G8" s="135" t="str">
        <f>VLOOKUP(Tableau9[[#This Row],[Colonne1]],Tableau124[#All],6,FALSE)</f>
        <v>Antenne CSAPA</v>
      </c>
      <c r="H8" s="135" t="str">
        <f>VLOOKUP(Tableau9[[#This Row],[Colonne1]],Tableau124[#All],7,FALSE)</f>
        <v>Association Addictions France 21</v>
      </c>
      <c r="I8" s="135" t="str">
        <f>VLOOKUP(Tableau9[[#This Row],[Colonne1]],Tableau124[#All],8,FALSE)</f>
        <v>Associatif</v>
      </c>
      <c r="J8" s="269" t="str">
        <f>VLOOKUP(Tableau9[[#This Row],[Colonne1]],Tableau124[#All],9,FALSE)</f>
        <v>csapa.beaune@addictions-France.org</v>
      </c>
      <c r="K8" s="199" t="str">
        <f>VLOOKUP(Tableau9[[#This Row],[Colonne1]],Tableau124[#All],10,FALSE)</f>
        <v>03 80 25 73 67</v>
      </c>
      <c r="L8" s="269" t="str">
        <f>VLOOKUP(Tableau9[[#This Row],[Colonne1]],Tableau124[#All],11,FALSE)</f>
        <v>www.addictions-france.org</v>
      </c>
      <c r="M8" s="96" t="str">
        <f>VLOOKUP(Tableau9[[#This Row],[Colonne1]],Tableau124[#All],12,FALSE)</f>
        <v xml:space="preserve">Lu : 9h-16h30 / Ma : 9h 14h / Me : 9h 12h / Je : 9h 16h / Ve : 9h 12h </v>
      </c>
      <c r="N8" s="134" t="str">
        <f>VLOOKUP(Tableau9[[#This Row],[Colonne1]],Tableau124[#All],13,FALSE)</f>
        <v xml:space="preserve">  </v>
      </c>
    </row>
    <row r="9" spans="1:15" ht="86.5" customHeight="1">
      <c r="B9" s="139">
        <v>4</v>
      </c>
      <c r="C9" s="135" t="str">
        <f>VLOOKUP(Tableau9[[#This Row],[Colonne1]],Tableau124[#All],2,FALSE)</f>
        <v>Côte-d’Or (21)</v>
      </c>
      <c r="D9" s="135" t="str">
        <f>VLOOKUP(Tableau9[[#This Row],[Colonne1]],Tableau124[#All],3,FALSE)</f>
        <v>Beaune</v>
      </c>
      <c r="E9" s="135">
        <f>VLOOKUP(Tableau9[[#This Row],[Colonne1]],Tableau124[#All],4,FALSE)</f>
        <v>21200</v>
      </c>
      <c r="F9" s="135" t="str">
        <f>VLOOKUP(Tableau9[[#This Row],[Colonne1]],Tableau124[#All],5,FALSE)</f>
        <v>10, Rue Jaffelin</v>
      </c>
      <c r="G9" s="135" t="str">
        <f>VLOOKUP(Tableau9[[#This Row],[Colonne1]],Tableau124[#All],6,FALSE)</f>
        <v>Antenne CSAPA</v>
      </c>
      <c r="H9" s="135" t="str">
        <f>VLOOKUP(Tableau9[[#This Row],[Colonne1]],Tableau124[#All],7,FALSE)</f>
        <v>CSAPA Tivoli, Caarud le Spot - SEDAP</v>
      </c>
      <c r="I9" s="135" t="str">
        <f>VLOOKUP(Tableau9[[#This Row],[Colonne1]],Tableau124[#All],8,FALSE)</f>
        <v>Associatif</v>
      </c>
      <c r="J9" s="269" t="str">
        <f>VLOOKUP(Tableau9[[#This Row],[Colonne1]],Tableau124[#All],9,FALSE)</f>
        <v>csapa.beaune@addictions-sedap.fr</v>
      </c>
      <c r="K9" s="199" t="str">
        <f>VLOOKUP(Tableau9[[#This Row],[Colonne1]],Tableau124[#All],10,FALSE)</f>
        <v>0380257367</v>
      </c>
      <c r="L9" s="273" t="str">
        <f>VLOOKUP(Tableau9[[#This Row],[Colonne1]],Tableau124[#All],11,FALSE)</f>
        <v xml:space="preserve"> </v>
      </c>
      <c r="M9" s="96" t="str">
        <f>VLOOKUP(Tableau9[[#This Row],[Colonne1]],Tableau124[#All],12,FALSE)</f>
        <v>Tous les jours - 9h-12h et 14h-17h</v>
      </c>
      <c r="N9" s="134" t="str">
        <f>VLOOKUP(Tableau9[[#This Row],[Colonne1]],Tableau124[#All],13,FALSE)</f>
        <v xml:space="preserve">   </v>
      </c>
    </row>
    <row r="10" spans="1:15" ht="86.5" customHeight="1">
      <c r="B10" s="139">
        <v>6</v>
      </c>
      <c r="C10" s="119" t="str">
        <f>VLOOKUP(Tableau9[[#This Row],[Colonne1]],Tableau124[#All],2,FALSE)</f>
        <v>Côte-d’Or (21)</v>
      </c>
      <c r="D10" s="178" t="str">
        <f>VLOOKUP(Tableau9[[#This Row],[Colonne1]],Tableau124[#All],3,FALSE)</f>
        <v>Beaune</v>
      </c>
      <c r="E10" s="178" t="str">
        <f>VLOOKUP(Tableau9[[#This Row],[Colonne1]],Tableau124[#All],4,FALSE)</f>
        <v>21200</v>
      </c>
      <c r="F10" s="121" t="str">
        <f>VLOOKUP(Tableau9[[#This Row],[Colonne1]],Tableau124[#All],5,FALSE)</f>
        <v>HOSPICES CIVILS DE BEAUNE
Nouveau bâtiment, 1er étage 
Avenue Guigone de Salins</v>
      </c>
      <c r="G10" s="179" t="str">
        <f>VLOOKUP(Tableau9[[#This Row],[Colonne1]],Tableau124[#All],6,FALSE)</f>
        <v>ELSA</v>
      </c>
      <c r="H10" s="178" t="str">
        <f>VLOOKUP(Tableau9[[#This Row],[Colonne1]],Tableau124[#All],7,FALSE)</f>
        <v>Hospices Civils de Beaune</v>
      </c>
      <c r="I10" s="178" t="str">
        <f>VLOOKUP(Tableau9[[#This Row],[Colonne1]],Tableau124[#All],8,FALSE)</f>
        <v>Public</v>
      </c>
      <c r="J10" s="276" t="str">
        <f>VLOOKUP(Tableau9[[#This Row],[Colonne1]],Tableau124[#All],9,FALSE)</f>
        <v>direction@ch-beaune.fr</v>
      </c>
      <c r="K10" s="308" t="str">
        <f>VLOOKUP(Tableau9[[#This Row],[Colonne1]],Tableau124[#All],10,FALSE)</f>
        <v>0380244608</v>
      </c>
      <c r="L10" s="276" t="str">
        <f>VLOOKUP(Tableau9[[#This Row],[Colonne1]],Tableau124[#All],11,FALSE)</f>
        <v>http://hospices-de-beaune.com/</v>
      </c>
      <c r="M10" s="215" t="str">
        <f>VLOOKUP(Tableau9[[#This Row],[Colonne1]],Tableau124[#All],12,FALSE)</f>
        <v xml:space="preserve">   </v>
      </c>
      <c r="N10" s="249" t="str">
        <f>VLOOKUP(Tableau9[[#This Row],[Colonne1]],Tableau124[#All],13,FALSE)</f>
        <v>- intervention auprès de public majeur ; 
- Intervention sur l'ensemble des services de l'hôpital</v>
      </c>
    </row>
    <row r="11" spans="1:15" ht="86.5" customHeight="1">
      <c r="B11" s="139">
        <v>5</v>
      </c>
      <c r="C11" s="104" t="str">
        <f>VLOOKUP(Tableau9[[#This Row],[Colonne1]],Tableau124[#All],2,FALSE)</f>
        <v>Côte-d’Or (21)</v>
      </c>
      <c r="D11" s="104" t="str">
        <f>VLOOKUP(Tableau9[[#This Row],[Colonne1]],Tableau124[#All],3,FALSE)</f>
        <v>Beaune</v>
      </c>
      <c r="E11" s="104" t="str">
        <f>VLOOKUP(Tableau9[[#This Row],[Colonne1]],Tableau124[#All],4,FALSE)</f>
        <v>21200</v>
      </c>
      <c r="F11" s="104" t="str">
        <f>VLOOKUP(Tableau9[[#This Row],[Colonne1]],Tableau124[#All],5,FALSE)</f>
        <v>HOSPICES CIVILS DE BEAUNE
Nouveau bâtiment, 1er étage 
Avenue Guigone de Salins</v>
      </c>
      <c r="G11" s="104" t="str">
        <f>VLOOKUP(Tableau9[[#This Row],[Colonne1]],Tableau124[#All],6,FALSE)</f>
        <v>Consultations Hospitalières externes d'addictologie</v>
      </c>
      <c r="H11" s="104" t="str">
        <f>VLOOKUP(Tableau9[[#This Row],[Colonne1]],Tableau124[#All],7,FALSE)</f>
        <v>Hospices Civils de Beaune</v>
      </c>
      <c r="I11" s="104" t="str">
        <f>VLOOKUP(Tableau9[[#This Row],[Colonne1]],Tableau124[#All],8,FALSE)</f>
        <v>Public</v>
      </c>
      <c r="J11" s="264" t="str">
        <f>VLOOKUP(Tableau9[[#This Row],[Colonne1]],Tableau124[#All],9,FALSE)</f>
        <v>direction@ch-beaune.fr</v>
      </c>
      <c r="K11" s="200" t="str">
        <f>VLOOKUP(Tableau9[[#This Row],[Colonne1]],Tableau124[#All],10,FALSE)</f>
        <v>0380244608</v>
      </c>
      <c r="L11" s="264" t="str">
        <f>VLOOKUP(Tableau9[[#This Row],[Colonne1]],Tableau124[#All],11,FALSE)</f>
        <v>http://hospices-de-beaune.com/</v>
      </c>
      <c r="M11" s="122" t="str">
        <f>VLOOKUP(Tableau9[[#This Row],[Colonne1]],Tableau124[#All],12,FALSE)</f>
        <v>Du lundi au vendredi de 9h00 à 17h00</v>
      </c>
      <c r="N11" s="122" t="str">
        <f>VLOOKUP(Tableau9[[#This Row],[Colonne1]],Tableau124[#All],13,FALSE)</f>
        <v xml:space="preserve"> Intervention auprès de majeurs et mineurs.</v>
      </c>
    </row>
    <row r="12" spans="1:15" ht="86.5" customHeight="1">
      <c r="B12" s="139">
        <v>7</v>
      </c>
      <c r="C12" s="93" t="str">
        <f>VLOOKUP(Tableau9[[#This Row],[Colonne1]],Tableau124[#All],2,FALSE)</f>
        <v>Côte-d’Or (21)</v>
      </c>
      <c r="D12" s="93" t="str">
        <f>VLOOKUP(Tableau9[[#This Row],[Colonne1]],Tableau124[#All],3,FALSE)</f>
        <v>Beaune</v>
      </c>
      <c r="E12" s="93" t="str">
        <f>VLOOKUP(Tableau9[[#This Row],[Colonne1]],Tableau124[#All],4,FALSE)</f>
        <v>21200</v>
      </c>
      <c r="F12" s="93" t="str">
        <f>VLOOKUP(Tableau9[[#This Row],[Colonne1]],Tableau124[#All],5,FALSE)</f>
        <v>HOSPICES CIVILS DE BEAUNE
Avenue Guigone de Salins</v>
      </c>
      <c r="G12" s="93" t="str">
        <f>VLOOKUP(Tableau9[[#This Row],[Colonne1]],Tableau124[#All],6,FALSE)</f>
        <v>Sevrage simple</v>
      </c>
      <c r="H12" s="93" t="str">
        <f>VLOOKUP(Tableau9[[#This Row],[Colonne1]],Tableau124[#All],7,FALSE)</f>
        <v>Hospices Civils de Beaune</v>
      </c>
      <c r="I12" s="93" t="str">
        <f>VLOOKUP(Tableau9[[#This Row],[Colonne1]],Tableau124[#All],8,FALSE)</f>
        <v>Public</v>
      </c>
      <c r="J12" s="279" t="str">
        <f>VLOOKUP(Tableau9[[#This Row],[Colonne1]],Tableau124[#All],9,FALSE)</f>
        <v>direction@ch-beaune.fr</v>
      </c>
      <c r="K12" s="309" t="str">
        <f>VLOOKUP(Tableau9[[#This Row],[Colonne1]],Tableau124[#All],10,FALSE)</f>
        <v>0380244608</v>
      </c>
      <c r="L12" s="279" t="str">
        <f>VLOOKUP(Tableau9[[#This Row],[Colonne1]],Tableau124[#All],11,FALSE)</f>
        <v>http://hospices-de-beaune.com/</v>
      </c>
      <c r="M12" s="216" t="str">
        <f>VLOOKUP(Tableau9[[#This Row],[Colonne1]],Tableau124[#All],12,FALSE)</f>
        <v xml:space="preserve">  </v>
      </c>
      <c r="N12" s="247" t="str">
        <f>VLOOKUP(Tableau9[[#This Row],[Colonne1]],Tableau124[#All],13,FALSE)</f>
        <v xml:space="preserve">- interventions auprès d'un public majeur ; 
- pas de lit déidié, demande auprès du service de rattachement selon disponibilité ;
- unité de médecine 2, service de médecine polyvalente à orientation gastroentérologique et oncologique. </v>
      </c>
    </row>
    <row r="13" spans="1:15" ht="86.5" customHeight="1">
      <c r="B13" s="139">
        <v>12</v>
      </c>
      <c r="C13" s="135" t="str">
        <f>VLOOKUP(Tableau9[[#This Row],[Colonne1]],Tableau124[#All],2,FALSE)</f>
        <v>Côte-d’Or (21)</v>
      </c>
      <c r="D13" s="135" t="str">
        <f>VLOOKUP(Tableau9[[#This Row],[Colonne1]],Tableau124[#All],3,FALSE)</f>
        <v>Châtillon-Sur-Seine</v>
      </c>
      <c r="E13" s="135">
        <f>VLOOKUP(Tableau9[[#This Row],[Colonne1]],Tableau124[#All],4,FALSE)</f>
        <v>21400</v>
      </c>
      <c r="F13" s="135" t="str">
        <f>VLOOKUP(Tableau9[[#This Row],[Colonne1]],Tableau124[#All],5,FALSE)</f>
        <v>Centre hospitalier, centre de périnatalité, 2 Rue Claude Petiet, 21400 Châtillon sur Seine</v>
      </c>
      <c r="G13" s="135" t="str">
        <f>VLOOKUP(Tableau9[[#This Row],[Colonne1]],Tableau124[#All],6,FALSE)</f>
        <v>CSAPA (consultations avancées)</v>
      </c>
      <c r="H13" s="135" t="str">
        <f>VLOOKUP(Tableau9[[#This Row],[Colonne1]],Tableau124[#All],7,FALSE)</f>
        <v>Association Addictions France</v>
      </c>
      <c r="I13" s="135" t="str">
        <f>VLOOKUP(Tableau9[[#This Row],[Colonne1]],Tableau124[#All],8,FALSE)</f>
        <v>Associatif</v>
      </c>
      <c r="J13" s="269" t="str">
        <f>VLOOKUP(Tableau9[[#This Row],[Colonne1]],Tableau124[#All],9,FALSE)</f>
        <v>csapa.dijon@addictions-france.org</v>
      </c>
      <c r="K13" s="199" t="str">
        <f>VLOOKUP(Tableau9[[#This Row],[Colonne1]],Tableau124[#All],10,FALSE)</f>
        <v>03 80 73 26 32</v>
      </c>
      <c r="L13" s="269" t="str">
        <f>VLOOKUP(Tableau9[[#This Row],[Colonne1]],Tableau124[#All],11,FALSE)</f>
        <v>www.addictions-france.org</v>
      </c>
      <c r="M13" s="96" t="str">
        <f>VLOOKUP(Tableau9[[#This Row],[Colonne1]],Tableau124[#All],12,FALSE)</f>
        <v xml:space="preserve">Mardi : 10h-12h - 12h30-16h </v>
      </c>
      <c r="N13" s="216" t="str">
        <f>VLOOKUP(Tableau9[[#This Row],[Colonne1]],Tableau124[#All],13,FALSE)</f>
        <v xml:space="preserve">   </v>
      </c>
    </row>
    <row r="14" spans="1:15" ht="86.5" customHeight="1">
      <c r="B14" s="139">
        <v>8</v>
      </c>
      <c r="C14" s="135" t="str">
        <f>VLOOKUP(Tableau9[[#This Row],[Colonne1]],Tableau124[#All],2,FALSE)</f>
        <v>Côte-d’Or (21)</v>
      </c>
      <c r="D14" s="135" t="str">
        <f>VLOOKUP(Tableau9[[#This Row],[Colonne1]],Tableau124[#All],3,FALSE)</f>
        <v>Châtillon-Sur-Seine</v>
      </c>
      <c r="E14" s="135">
        <f>VLOOKUP(Tableau9[[#This Row],[Colonne1]],Tableau124[#All],4,FALSE)</f>
        <v>21400</v>
      </c>
      <c r="F14" s="135" t="str">
        <f>VLOOKUP(Tableau9[[#This Row],[Colonne1]],Tableau124[#All],5,FALSE)</f>
        <v>Maison de santé- rue Claude Petiet 21400 Châtillon sur Seine</v>
      </c>
      <c r="G14" s="135" t="str">
        <f>VLOOKUP(Tableau9[[#This Row],[Colonne1]],Tableau124[#All],6,FALSE)</f>
        <v>Antenne CSAPA</v>
      </c>
      <c r="H14" s="135" t="str">
        <f>VLOOKUP(Tableau9[[#This Row],[Colonne1]],Tableau124[#All],7,FALSE)</f>
        <v>Association Addictions France 21</v>
      </c>
      <c r="I14" s="135" t="str">
        <f>VLOOKUP(Tableau9[[#This Row],[Colonne1]],Tableau124[#All],8,FALSE)</f>
        <v>Associatif</v>
      </c>
      <c r="J14" s="269" t="str">
        <f>VLOOKUP(Tableau9[[#This Row],[Colonne1]],Tableau124[#All],9,FALSE)</f>
        <v>csapa.dijon@addictions-france.org</v>
      </c>
      <c r="K14" s="199" t="str">
        <f>VLOOKUP(Tableau9[[#This Row],[Colonne1]],Tableau124[#All],10,FALSE)</f>
        <v>03 80 73 26 32</v>
      </c>
      <c r="L14" s="269" t="str">
        <f>VLOOKUP(Tableau9[[#This Row],[Colonne1]],Tableau124[#All],11,FALSE)</f>
        <v>www.addictions-france.org</v>
      </c>
      <c r="M14" s="96" t="str">
        <f>VLOOKUP(Tableau9[[#This Row],[Colonne1]],Tableau124[#All],12,FALSE)</f>
        <v>Mardi, mercredi, jeudi : 10h - 16h</v>
      </c>
      <c r="N14" s="134" t="str">
        <f>VLOOKUP(Tableau9[[#This Row],[Colonne1]],Tableau124[#All],13,FALSE)</f>
        <v xml:space="preserve">  </v>
      </c>
    </row>
    <row r="15" spans="1:15" ht="86.5" customHeight="1">
      <c r="B15" s="139">
        <v>9</v>
      </c>
      <c r="C15" s="180" t="str">
        <f>VLOOKUP(Tableau9[[#This Row],[Colonne1]],Tableau124[#All],2,FALSE)</f>
        <v>Côte-d’Or (21)</v>
      </c>
      <c r="D15" s="195" t="str">
        <f>VLOOKUP(Tableau9[[#This Row],[Colonne1]],Tableau124[#All],3,FALSE)</f>
        <v>Châtillon-Sur-Seine</v>
      </c>
      <c r="E15" s="195">
        <f>VLOOKUP(Tableau9[[#This Row],[Colonne1]],Tableau124[#All],4,FALSE)</f>
        <v>21400</v>
      </c>
      <c r="F15" s="180" t="str">
        <f>VLOOKUP(Tableau9[[#This Row],[Colonne1]],Tableau124[#All],5,FALSE)</f>
        <v>Lycée Désiré Nisard,19 rue de Seine 21400 Châtillon sur Seine</v>
      </c>
      <c r="G15" s="195" t="str">
        <f>VLOOKUP(Tableau9[[#This Row],[Colonne1]],Tableau124[#All],6,FALSE)</f>
        <v>CJC</v>
      </c>
      <c r="H15" s="195" t="str">
        <f>VLOOKUP(Tableau9[[#This Row],[Colonne1]],Tableau124[#All],7,FALSE)</f>
        <v>Association Addictions France 21</v>
      </c>
      <c r="I15" s="180" t="str">
        <f>VLOOKUP(Tableau9[[#This Row],[Colonne1]],Tableau124[#All],8,FALSE)</f>
        <v>Associatif</v>
      </c>
      <c r="J15" s="424" t="str">
        <f>VLOOKUP(Tableau9[[#This Row],[Colonne1]],Tableau124[#All],9,FALSE)</f>
        <v>csapa.dijon@addictions-france.org</v>
      </c>
      <c r="K15" s="425" t="str">
        <f>VLOOKUP(Tableau9[[#This Row],[Colonne1]],Tableau124[#All],10,FALSE)</f>
        <v>03 80 73 26 32</v>
      </c>
      <c r="L15" s="424" t="str">
        <f>VLOOKUP(Tableau9[[#This Row],[Colonne1]],Tableau124[#All],11,FALSE)</f>
        <v>www.addictions-france.org</v>
      </c>
      <c r="M15" s="195" t="str">
        <f>VLOOKUP(Tableau9[[#This Row],[Colonne1]],Tableau124[#All],12,FALSE)</f>
        <v>Mardi : 10h 12h - 12h30 14h30</v>
      </c>
      <c r="N15" s="134" t="str">
        <f>VLOOKUP(Tableau9[[#This Row],[Colonne1]],Tableau124[#All],13,FALSE)</f>
        <v xml:space="preserve">  </v>
      </c>
    </row>
    <row r="16" spans="1:15" ht="86.5" customHeight="1">
      <c r="B16" s="139">
        <v>10</v>
      </c>
      <c r="C16" s="180" t="str">
        <f>VLOOKUP(Tableau9[[#This Row],[Colonne1]],Tableau124[#All],2,FALSE)</f>
        <v>Côte-d’Or (21)</v>
      </c>
      <c r="D16" s="180" t="str">
        <f>VLOOKUP(Tableau9[[#This Row],[Colonne1]],Tableau124[#All],3,FALSE)</f>
        <v>Châtillon-Sur-Seine</v>
      </c>
      <c r="E16" s="180">
        <f>VLOOKUP(Tableau9[[#This Row],[Colonne1]],Tableau124[#All],4,FALSE)</f>
        <v>21400</v>
      </c>
      <c r="F16" s="180" t="str">
        <f>VLOOKUP(Tableau9[[#This Row],[Colonne1]],Tableau124[#All],5,FALSE)</f>
        <v>Lycée La Barotte, route de Langres 21400 Châtillon sur Seine</v>
      </c>
      <c r="G16" s="180" t="str">
        <f>VLOOKUP(Tableau9[[#This Row],[Colonne1]],Tableau124[#All],6,FALSE)</f>
        <v>CJC</v>
      </c>
      <c r="H16" s="180" t="str">
        <f>VLOOKUP(Tableau9[[#This Row],[Colonne1]],Tableau124[#All],7,FALSE)</f>
        <v>Association Addictions France 21</v>
      </c>
      <c r="I16" s="180" t="str">
        <f>VLOOKUP(Tableau9[[#This Row],[Colonne1]],Tableau124[#All],8,FALSE)</f>
        <v>Associatif</v>
      </c>
      <c r="J16" s="307" t="str">
        <f>VLOOKUP(Tableau9[[#This Row],[Colonne1]],Tableau124[#All],9,FALSE)</f>
        <v>csapa.dijon@addictions-france.org</v>
      </c>
      <c r="K16" s="314" t="str">
        <f>VLOOKUP(Tableau9[[#This Row],[Colonne1]],Tableau124[#All],10,FALSE)</f>
        <v>03 80 73 26 32</v>
      </c>
      <c r="L16" s="307" t="str">
        <f>VLOOKUP(Tableau9[[#This Row],[Colonne1]],Tableau124[#All],11,FALSE)</f>
        <v>www.addictions-france.org</v>
      </c>
      <c r="M16" s="180" t="str">
        <f>VLOOKUP(Tableau9[[#This Row],[Colonne1]],Tableau124[#All],12,FALSE)</f>
        <v>Mardi : 10h 12h - 12h30 14h30</v>
      </c>
      <c r="N16" s="134" t="str">
        <f>VLOOKUP(Tableau9[[#This Row],[Colonne1]],Tableau124[#All],13,FALSE)</f>
        <v xml:space="preserve">  </v>
      </c>
    </row>
    <row r="17" spans="2:14" ht="86.5" customHeight="1">
      <c r="B17" s="139">
        <v>11</v>
      </c>
      <c r="C17" s="180" t="str">
        <f>VLOOKUP(Tableau9[[#This Row],[Colonne1]],Tableau124[#All],2,FALSE)</f>
        <v>Côte-d’Or (21)</v>
      </c>
      <c r="D17" s="180" t="str">
        <f>VLOOKUP(Tableau9[[#This Row],[Colonne1]],Tableau124[#All],3,FALSE)</f>
        <v>Châtillon-Sur-Seine</v>
      </c>
      <c r="E17" s="180">
        <f>VLOOKUP(Tableau9[[#This Row],[Colonne1]],Tableau124[#All],4,FALSE)</f>
        <v>21400</v>
      </c>
      <c r="F17" s="180" t="str">
        <f>VLOOKUP(Tableau9[[#This Row],[Colonne1]],Tableau124[#All],5,FALSE)</f>
        <v>Maison de santé, rue Claude Petiet 21400 Châtillon sur Seine</v>
      </c>
      <c r="G17" s="180" t="str">
        <f>VLOOKUP(Tableau9[[#This Row],[Colonne1]],Tableau124[#All],6,FALSE)</f>
        <v>CJC</v>
      </c>
      <c r="H17" s="180" t="str">
        <f>VLOOKUP(Tableau9[[#This Row],[Colonne1]],Tableau124[#All],7,FALSE)</f>
        <v>Association Addictions France 21</v>
      </c>
      <c r="I17" s="180" t="str">
        <f>VLOOKUP(Tableau9[[#This Row],[Colonne1]],Tableau124[#All],8,FALSE)</f>
        <v>Associatif</v>
      </c>
      <c r="J17" s="307" t="str">
        <f>VLOOKUP(Tableau9[[#This Row],[Colonne1]],Tableau124[#All],9,FALSE)</f>
        <v>csapa.dijon@addictions-france.org</v>
      </c>
      <c r="K17" s="314" t="str">
        <f>VLOOKUP(Tableau9[[#This Row],[Colonne1]],Tableau124[#All],10,FALSE)</f>
        <v>03 80 73 26 32</v>
      </c>
      <c r="L17" s="307" t="str">
        <f>VLOOKUP(Tableau9[[#This Row],[Colonne1]],Tableau124[#All],11,FALSE)</f>
        <v>www.addictions-france.org</v>
      </c>
      <c r="M17" s="180" t="str">
        <f>VLOOKUP(Tableau9[[#This Row],[Colonne1]],Tableau124[#All],12,FALSE)</f>
        <v>Mardi : 10h 12h - 12h30 14h30</v>
      </c>
      <c r="N17" s="134" t="str">
        <f>VLOOKUP(Tableau9[[#This Row],[Colonne1]],Tableau124[#All],13,FALSE)</f>
        <v xml:space="preserve">   </v>
      </c>
    </row>
    <row r="18" spans="2:14" ht="86.5" customHeight="1">
      <c r="B18" s="139">
        <v>260</v>
      </c>
      <c r="C18" s="135" t="str">
        <f>VLOOKUP(Tableau9[[#This Row],[Colonne1]],Tableau124[#All],2,FALSE)</f>
        <v>Côte-d’Or (21)</v>
      </c>
      <c r="D18" s="135" t="str">
        <f>VLOOKUP(Tableau9[[#This Row],[Colonne1]],Tableau124[#All],3,FALSE)</f>
        <v>Châtillon-Sur-Seine</v>
      </c>
      <c r="E18" s="135">
        <f>VLOOKUP(Tableau9[[#This Row],[Colonne1]],Tableau124[#All],4,FALSE)</f>
        <v>21400</v>
      </c>
      <c r="F18" s="135" t="str">
        <f>VLOOKUP(Tableau9[[#This Row],[Colonne1]],Tableau124[#All],5,FALSE)</f>
        <v>Coallia pension de famille 6 promenade de la charme 21400 Châtillon sur Seine</v>
      </c>
      <c r="G18" s="135" t="str">
        <f>VLOOKUP(Tableau9[[#This Row],[Colonne1]],Tableau124[#All],6,FALSE)</f>
        <v>CSAPA (consultations avancées)</v>
      </c>
      <c r="H18" s="135" t="str">
        <f>VLOOKUP(Tableau9[[#This Row],[Colonne1]],Tableau124[#All],7,FALSE)</f>
        <v>Association Addictions France</v>
      </c>
      <c r="I18" s="135" t="str">
        <f>VLOOKUP(Tableau9[[#This Row],[Colonne1]],Tableau124[#All],8,FALSE)</f>
        <v>Associatif</v>
      </c>
      <c r="J18" s="135" t="str">
        <f>VLOOKUP(Tableau9[[#This Row],[Colonne1]],Tableau124[#All],9,FALSE)</f>
        <v>csapa.dijon@addictions-france.org</v>
      </c>
      <c r="K18" s="135" t="str">
        <f>VLOOKUP(Tableau9[[#This Row],[Colonne1]],Tableau124[#All],10,FALSE)</f>
        <v>03 80 73 26 32</v>
      </c>
      <c r="L18" s="135" t="str">
        <f>VLOOKUP(Tableau9[[#This Row],[Colonne1]],Tableau124[#All],11,FALSE)</f>
        <v>www.addictions-france.org</v>
      </c>
      <c r="M18" s="135" t="str">
        <f>VLOOKUP(Tableau9[[#This Row],[Colonne1]],Tableau124[#All],12,FALSE)</f>
        <v>1er jeudi matin de chaque mois, 1/2 journée par mois (mardi matin mois impairs ou mercredi matin mois pairs)</v>
      </c>
      <c r="N18" s="135"/>
    </row>
    <row r="19" spans="2:14" ht="43.5">
      <c r="B19" s="139">
        <v>22</v>
      </c>
      <c r="C19" s="135" t="str">
        <f>VLOOKUP(Tableau9[[#This Row],[Colonne1]],Tableau124[#All],2,FALSE)</f>
        <v>Côte-d’Or (21)</v>
      </c>
      <c r="D19" s="135" t="str">
        <f>VLOOKUP(Tableau9[[#This Row],[Colonne1]],Tableau124[#All],3,FALSE)</f>
        <v>Dijon</v>
      </c>
      <c r="E19" s="135">
        <f>VLOOKUP(Tableau9[[#This Row],[Colonne1]],Tableau124[#All],4,FALSE)</f>
        <v>21000</v>
      </c>
      <c r="F19" s="135" t="str">
        <f>VLOOKUP(Tableau9[[#This Row],[Colonne1]],Tableau124[#All],5,FALSE)</f>
        <v>CHRS Sadi Carnot 2 ter rue Sadi Carnot 21000 Dijon</v>
      </c>
      <c r="G19" s="135" t="str">
        <f>VLOOKUP(Tableau9[[#This Row],[Colonne1]],Tableau124[#All],6,FALSE)</f>
        <v>CSAPA (Consultations avancées)</v>
      </c>
      <c r="H19" s="135" t="str">
        <f>VLOOKUP(Tableau9[[#This Row],[Colonne1]],Tableau124[#All],7,FALSE)</f>
        <v>Association Addictions France 21</v>
      </c>
      <c r="I19" s="135" t="str">
        <f>VLOOKUP(Tableau9[[#This Row],[Colonne1]],Tableau124[#All],8,FALSE)</f>
        <v>Associatif</v>
      </c>
      <c r="J19" s="275" t="str">
        <f>VLOOKUP(Tableau9[[#This Row],[Colonne1]],Tableau124[#All],9,FALSE)</f>
        <v>csapa.dijon@addictions-france.org</v>
      </c>
      <c r="K19" s="315" t="str">
        <f>VLOOKUP(Tableau9[[#This Row],[Colonne1]],Tableau124[#All],10,FALSE)</f>
        <v>03 80 73 26 32</v>
      </c>
      <c r="L19" s="269" t="str">
        <f>VLOOKUP(Tableau9[[#This Row],[Colonne1]],Tableau124[#All],11,FALSE)</f>
        <v>www.addictions-france.org</v>
      </c>
      <c r="M19" s="227" t="str">
        <f>VLOOKUP(Tableau9[[#This Row],[Colonne1]],Tableau124[#All],12,FALSE)</f>
        <v>Mardi : 9h 11h30</v>
      </c>
      <c r="N19" s="134" t="str">
        <f>VLOOKUP(Tableau9[[#This Row],[Colonne1]],Tableau124[#All],13,FALSE)</f>
        <v>consultations avancées</v>
      </c>
    </row>
    <row r="20" spans="2:14" ht="86.5" customHeight="1">
      <c r="B20" s="139">
        <v>26</v>
      </c>
      <c r="C20" s="120" t="str">
        <f>VLOOKUP(Tableau9[[#This Row],[Colonne1]],Tableau124[#All],2,FALSE)</f>
        <v>Côte-d’Or (21)</v>
      </c>
      <c r="D20" s="120" t="str">
        <f>VLOOKUP(Tableau9[[#This Row],[Colonne1]],Tableau124[#All],3,FALSE)</f>
        <v>Dijon</v>
      </c>
      <c r="E20" s="120" t="str">
        <f>VLOOKUP(Tableau9[[#This Row],[Colonne1]],Tableau124[#All],4,FALSE)</f>
        <v>21000</v>
      </c>
      <c r="F20" s="120" t="str">
        <f>VLOOKUP(Tableau9[[#This Row],[Colonne1]],Tableau124[#All],5,FALSE)</f>
        <v>31 rue marceau</v>
      </c>
      <c r="G20" s="95" t="str">
        <f>VLOOKUP(Tableau9[[#This Row],[Colonne1]],Tableau124[#All],6,FALSE)</f>
        <v>SMRA</v>
      </c>
      <c r="H20" s="120" t="str">
        <f>VLOOKUP(Tableau9[[#This Row],[Colonne1]],Tableau124[#All],7,FALSE)</f>
        <v>Association du Renouveau</v>
      </c>
      <c r="I20" s="120" t="str">
        <f>VLOOKUP(Tableau9[[#This Row],[Colonne1]],Tableau124[#All],8,FALSE)</f>
        <v>Associatif</v>
      </c>
      <c r="J20" s="284" t="str">
        <f>VLOOKUP(Tableau9[[#This Row],[Colonne1]],Tableau124[#All],9,FALSE)</f>
        <v>cssr@renouveau-asso.fr</v>
      </c>
      <c r="K20" s="311" t="str">
        <f>VLOOKUP(Tableau9[[#This Row],[Colonne1]],Tableau124[#All],10,FALSE)</f>
        <v>0380288551</v>
      </c>
      <c r="L20" s="284" t="str">
        <f>VLOOKUP(Tableau9[[#This Row],[Colonne1]],Tableau124[#All],11,FALSE)</f>
        <v>https://renouveau-asso.com</v>
      </c>
      <c r="M20" s="120" t="str">
        <f>VLOOKUP(Tableau9[[#This Row],[Colonne1]],Tableau124[#All],12,FALSE)</f>
        <v>Tous les jours</v>
      </c>
      <c r="N20" s="500" t="str">
        <f>VLOOKUP(Tableau9[[#This Row],[Colonne1]],Tableau124[#All],13,FALSE)</f>
        <v>Intervention auprès public majeur ; 
Intervention auprès d'un public majeur. Durée: quelque semaines ; 
Centre Marceau : en hospitalisation complète ou en hôpital de jour (séjours séquentiels possibles) 
SOLAL : 2ième unité dédiée aux troubles cognitifs complexes liés aux addictions  
Equipe mobile addicto: intervention au domicile (amont et aval)
Consultations externes possibles</v>
      </c>
    </row>
    <row r="21" spans="2:14" ht="86.5" customHeight="1">
      <c r="B21" s="139">
        <v>15</v>
      </c>
      <c r="C21" s="283" t="str">
        <f>VLOOKUP(Tableau9[[#This Row],[Colonne1]],Tableau124[#All],2,FALSE)</f>
        <v>Côte-d’Or (21)</v>
      </c>
      <c r="D21" s="120" t="str">
        <f>VLOOKUP(Tableau9[[#This Row],[Colonne1]],Tableau124[#All],3,FALSE)</f>
        <v>Dijon</v>
      </c>
      <c r="E21" s="120">
        <f>VLOOKUP(Tableau9[[#This Row],[Colonne1]],Tableau124[#All],4,FALSE)</f>
        <v>21000</v>
      </c>
      <c r="F21" s="120" t="str">
        <f>VLOOKUP(Tableau9[[#This Row],[Colonne1]],Tableau124[#All],5,FALSE)</f>
        <v xml:space="preserve">31 rue Marceau </v>
      </c>
      <c r="G21" s="120" t="str">
        <f>VLOOKUP(Tableau9[[#This Row],[Colonne1]],Tableau124[#All],6,FALSE)</f>
        <v>Equipe mobile SMRA</v>
      </c>
      <c r="H21" s="120" t="str">
        <f>VLOOKUP(Tableau9[[#This Row],[Colonne1]],Tableau124[#All],7,FALSE)</f>
        <v xml:space="preserve">SMRA Renouveau </v>
      </c>
      <c r="I21" s="283" t="str">
        <f>VLOOKUP(Tableau9[[#This Row],[Colonne1]],Tableau124[#All],8,FALSE)</f>
        <v>Associatif</v>
      </c>
      <c r="J21" s="284" t="str">
        <f>VLOOKUP(Tableau9[[#This Row],[Colonne1]],Tableau124[#All],9,FALSE)</f>
        <v>cssr@renouveau-asso.fr</v>
      </c>
      <c r="K21" s="311" t="str">
        <f>VLOOKUP(Tableau9[[#This Row],[Colonne1]],Tableau124[#All],10,FALSE)</f>
        <v>03 45 34 16 96.</v>
      </c>
      <c r="L21" s="403" t="str">
        <f>VLOOKUP(Tableau9[[#This Row],[Colonne1]],Tableau124[#All],11,FALSE)</f>
        <v>https://renouveau-asso.com</v>
      </c>
      <c r="M21" s="120" t="str">
        <f>VLOOKUP(Tableau9[[#This Row],[Colonne1]],Tableau124[#All],12,FALSE)</f>
        <v>Du Lundi au vendredi de 9h  à 12h et de 13h30 à 17h30</v>
      </c>
      <c r="N21" s="404" t="str">
        <f>VLOOKUP(Tableau9[[#This Row],[Colonne1]],Tableau124[#All],13,FALSE)</f>
        <v>Intervention à domicile pour sécurisation du parcours  du patient (Amont et/ou aval)
Modalité d'intervention : suivant un parcours d'intervention</v>
      </c>
    </row>
    <row r="22" spans="2:14" ht="86.5" customHeight="1">
      <c r="B22" s="139">
        <v>16</v>
      </c>
      <c r="C22" s="171" t="str">
        <f>VLOOKUP(Tableau9[[#This Row],[Colonne1]],Tableau124[#All],2,FALSE)</f>
        <v>Côte-d’Or (21)</v>
      </c>
      <c r="D22" s="171" t="str">
        <f>VLOOKUP(Tableau9[[#This Row],[Colonne1]],Tableau124[#All],3,FALSE)</f>
        <v>Dijon</v>
      </c>
      <c r="E22" s="171" t="str">
        <f>VLOOKUP(Tableau9[[#This Row],[Colonne1]],Tableau124[#All],4,FALSE)</f>
        <v>21000</v>
      </c>
      <c r="F22" s="171" t="str">
        <f>VLOOKUP(Tableau9[[#This Row],[Colonne1]],Tableau124[#All],5,FALSE)</f>
        <v>9 Rue Févret</v>
      </c>
      <c r="G22" s="171" t="str">
        <f>VLOOKUP(Tableau9[[#This Row],[Colonne1]],Tableau124[#All],6,FALSE)</f>
        <v>CAARUD de réduction des risques et des dommages à distance</v>
      </c>
      <c r="H22" s="171" t="str">
        <f>VLOOKUP(Tableau9[[#This Row],[Colonne1]],Tableau124[#All],7,FALSE)</f>
        <v>Caarud le SPOT - SEDAP</v>
      </c>
      <c r="I22" s="171" t="str">
        <f>VLOOKUP(Tableau9[[#This Row],[Colonne1]],Tableau124[#All],8,FALSE)</f>
        <v>Associatif</v>
      </c>
      <c r="J22" s="297" t="str">
        <f>VLOOKUP(Tableau9[[#This Row],[Colonne1]],Tableau124[#All],9,FALSE)</f>
        <v>caarud@addictions-sedap.fr</v>
      </c>
      <c r="K22" s="201" t="str">
        <f>VLOOKUP(Tableau9[[#This Row],[Colonne1]],Tableau124[#All],10,FALSE)</f>
        <v>0688223918</v>
      </c>
      <c r="L22" s="297" t="str">
        <f>VLOOKUP(Tableau9[[#This Row],[Colonne1]],Tableau124[#All],11,FALSE)</f>
        <v>www.addictions-sedap.fr</v>
      </c>
      <c r="M22" s="217" t="str">
        <f>VLOOKUP(Tableau9[[#This Row],[Colonne1]],Tableau124[#All],12,FALSE)</f>
        <v>&gt; CAARUD : Lundi : de 10h30 à 14h ( accueil réservé aux femmes ) et de 14h à 17h00 ) ( Accueil mixte ) 
Mercredi : 10h30 à 17h
&gt; Intervention au CSAPA Belem : à la maison d'arrêt de DIJON deux mardis par mois de 14h à 16h
&gt; Permanence devant le CHRS Sadi Carnot deux mardis par mois de 16h30 à 18h30 avec le camping-car
&gt; Permanence au CHRS Machureau deux vendredis par mois de 14h à 16h</v>
      </c>
      <c r="N22" s="233" t="str">
        <f>VLOOKUP(Tableau9[[#This Row],[Colonne1]],Tableau124[#All],13,FALSE)</f>
        <v xml:space="preserve">- unité mobile pouvant servir de lieu d'accueil (déplacement en Côte-d-Or) ; 
- programme d'échange de seringues ;
- intervention en maraude ; 
- intervention en milieu festif ;
- intervention en milieu pénitentier à la Maison d'arrêt de Dijon. </v>
      </c>
    </row>
    <row r="23" spans="2:14" ht="86.5" customHeight="1">
      <c r="B23" s="139">
        <v>18</v>
      </c>
      <c r="C23" s="181" t="str">
        <f>VLOOKUP(Tableau9[[#This Row],[Colonne1]],Tableau124[#All],2,FALSE)</f>
        <v>Côte-d’Or (21)</v>
      </c>
      <c r="D23" s="181" t="str">
        <f>VLOOKUP(Tableau9[[#This Row],[Colonne1]],Tableau124[#All],3,FALSE)</f>
        <v>Dijon</v>
      </c>
      <c r="E23" s="181" t="str">
        <f>VLOOKUP(Tableau9[[#This Row],[Colonne1]],Tableau124[#All],4,FALSE)</f>
        <v>21000</v>
      </c>
      <c r="F23" s="181" t="str">
        <f>VLOOKUP(Tableau9[[#This Row],[Colonne1]],Tableau124[#All],5,FALSE)</f>
        <v>Centre Georges François Leclerc
1 Rue Professeur Marion</v>
      </c>
      <c r="G23" s="181" t="str">
        <f>VLOOKUP(Tableau9[[#This Row],[Colonne1]],Tableau124[#All],6,FALSE)</f>
        <v>Consultations Hospitalières externes d'addictologie</v>
      </c>
      <c r="H23" s="181" t="str">
        <f>VLOOKUP(Tableau9[[#This Row],[Colonne1]],Tableau124[#All],7,FALSE)</f>
        <v>Centre Georges François Leclerc</v>
      </c>
      <c r="I23" s="181" t="str">
        <f>VLOOKUP(Tableau9[[#This Row],[Colonne1]],Tableau124[#All],8,FALSE)</f>
        <v>Public</v>
      </c>
      <c r="J23" s="265" t="str">
        <f>VLOOKUP(Tableau9[[#This Row],[Colonne1]],Tableau124[#All],9,FALSE)</f>
        <v>Secretariat-Consultation@cgfl.fr</v>
      </c>
      <c r="K23" s="203" t="str">
        <f>VLOOKUP(Tableau9[[#This Row],[Colonne1]],Tableau124[#All],10,FALSE)</f>
        <v>03 80 73 77 40</v>
      </c>
      <c r="L23" s="264" t="str">
        <f>VLOOKUP(Tableau9[[#This Row],[Colonne1]],Tableau124[#All],11,FALSE)</f>
        <v>https://www.cgfl.fr/?s=tabacologie</v>
      </c>
      <c r="M23" s="122" t="str">
        <f>VLOOKUP(Tableau9[[#This Row],[Colonne1]],Tableau124[#All],12,FALSE)</f>
        <v>Lundi après-midi de 15h à 17h
Mardi matin de 9h à 12h</v>
      </c>
      <c r="N23" s="123" t="str">
        <f>VLOOKUP(Tableau9[[#This Row],[Colonne1]],Tableau124[#All],13,FALSE)</f>
        <v>Intervention auprès de public majeurs</v>
      </c>
    </row>
    <row r="24" spans="2:14" ht="86.5" customHeight="1">
      <c r="B24" s="139">
        <v>24</v>
      </c>
      <c r="C24" s="193" t="str">
        <f>VLOOKUP(Tableau9[[#This Row],[Colonne1]],Tableau124[#All],2,FALSE)</f>
        <v>Côte-d’Or (21)</v>
      </c>
      <c r="D24" s="93" t="str">
        <f>VLOOKUP(Tableau9[[#This Row],[Colonne1]],Tableau124[#All],3,FALSE)</f>
        <v>Dijon</v>
      </c>
      <c r="E24" s="93" t="str">
        <f>VLOOKUP(Tableau9[[#This Row],[Colonne1]],Tableau124[#All],4,FALSE)</f>
        <v>21000</v>
      </c>
      <c r="F24" s="193" t="str">
        <f>VLOOKUP(Tableau9[[#This Row],[Colonne1]],Tableau124[#All],5,FALSE)</f>
        <v>1 BVD Chamoine Kir</v>
      </c>
      <c r="G24" s="193" t="str">
        <f>VLOOKUP(Tableau9[[#This Row],[Colonne1]],Tableau124[#All],6,FALSE)</f>
        <v>Sevrage simple</v>
      </c>
      <c r="H24" s="93" t="str">
        <f>VLOOKUP(Tableau9[[#This Row],[Colonne1]],Tableau124[#All],7,FALSE)</f>
        <v>CH La Chartreuse</v>
      </c>
      <c r="I24" s="93" t="str">
        <f>VLOOKUP(Tableau9[[#This Row],[Colonne1]],Tableau124[#All],8,FALSE)</f>
        <v>Public</v>
      </c>
      <c r="J24" s="280" t="str">
        <f>VLOOKUP(Tableau9[[#This Row],[Colonne1]],Tableau124[#All],9,FALSE)</f>
        <v>Eole@chlcdijon.fr</v>
      </c>
      <c r="K24" s="309" t="str">
        <f>VLOOKUP(Tableau9[[#This Row],[Colonne1]],Tableau124[#All],10,FALSE)</f>
        <v>0380424949</v>
      </c>
      <c r="L24" s="279" t="str">
        <f>VLOOKUP(Tableau9[[#This Row],[Colonne1]],Tableau124[#All],11,FALSE)</f>
        <v>www.ch-lachartreuse-dijon-cotedor.fr</v>
      </c>
      <c r="M24" s="216" t="str">
        <f>VLOOKUP(Tableau9[[#This Row],[Colonne1]],Tableau124[#All],12,FALSE)</f>
        <v xml:space="preserve">  </v>
      </c>
      <c r="N24" s="232" t="str">
        <f>VLOOKUP(Tableau9[[#This Row],[Colonne1]],Tableau124[#All],13,FALSE)</f>
        <v>- interventions auprès d'un public majeur ; 
- lits installés au sein d'une même unité ; 
- une unité EOLE 14 lits de sevrage complexe, 4 lits de sevrage simple).</v>
      </c>
    </row>
    <row r="25" spans="2:14" ht="86.5" customHeight="1">
      <c r="B25" s="139">
        <v>27</v>
      </c>
      <c r="C25" s="118" t="str">
        <f>VLOOKUP(Tableau9[[#This Row],[Colonne1]],Tableau124[#All],2,FALSE)</f>
        <v>Côte-d’Or (21)</v>
      </c>
      <c r="D25" s="118" t="str">
        <f>VLOOKUP(Tableau9[[#This Row],[Colonne1]],Tableau124[#All],3,FALSE)</f>
        <v>Dijon</v>
      </c>
      <c r="E25" s="118" t="str">
        <f>VLOOKUP(Tableau9[[#This Row],[Colonne1]],Tableau124[#All],4,FALSE)</f>
        <v>21000</v>
      </c>
      <c r="F25" s="118" t="str">
        <f>VLOOKUP(Tableau9[[#This Row],[Colonne1]],Tableau124[#All],5,FALSE)</f>
        <v>BVD Chamoine Kir</v>
      </c>
      <c r="G25" s="117" t="str">
        <f>VLOOKUP(Tableau9[[#This Row],[Colonne1]],Tableau124[#All],6,FALSE)</f>
        <v>Soins complexes</v>
      </c>
      <c r="H25" s="118" t="str">
        <f>VLOOKUP(Tableau9[[#This Row],[Colonne1]],Tableau124[#All],7,FALSE)</f>
        <v>CH La Chartreuse</v>
      </c>
      <c r="I25" s="118" t="str">
        <f>VLOOKUP(Tableau9[[#This Row],[Colonne1]],Tableau124[#All],8,FALSE)</f>
        <v>Public</v>
      </c>
      <c r="J25" s="287" t="str">
        <f>VLOOKUP(Tableau9[[#This Row],[Colonne1]],Tableau124[#All],9,FALSE)</f>
        <v>Eole@chlcdijon.fr</v>
      </c>
      <c r="K25" s="312" t="str">
        <f>VLOOKUP(Tableau9[[#This Row],[Colonne1]],Tableau124[#All],10,FALSE)</f>
        <v>0380424949</v>
      </c>
      <c r="L25" s="287" t="str">
        <f>VLOOKUP(Tableau9[[#This Row],[Colonne1]],Tableau124[#All],11,FALSE)</f>
        <v>www.ch-lachartreuse-dijon-cotedor.fr</v>
      </c>
      <c r="M25" s="216" t="str">
        <f>VLOOKUP(Tableau9[[#This Row],[Colonne1]],Tableau124[#All],12,FALSE)</f>
        <v xml:space="preserve">  </v>
      </c>
      <c r="N25" s="237" t="str">
        <f>VLOOKUP(Tableau9[[#This Row],[Colonne1]],Tableau124[#All],13,FALSE)</f>
        <v xml:space="preserve">- intervention auprès de public majeur ; 
- accueille également des patients pour des sevrages simples </v>
      </c>
    </row>
    <row r="26" spans="2:14" ht="86.5" customHeight="1">
      <c r="B26" s="139">
        <v>23</v>
      </c>
      <c r="C26" s="119" t="str">
        <f>VLOOKUP(Tableau9[[#This Row],[Colonne1]],Tableau124[#All],2,FALSE)</f>
        <v>Côte-d’Or (21)</v>
      </c>
      <c r="D26" s="119" t="str">
        <f>VLOOKUP(Tableau9[[#This Row],[Colonne1]],Tableau124[#All],3,FALSE)</f>
        <v>Dijon</v>
      </c>
      <c r="E26" s="119" t="str">
        <f>VLOOKUP(Tableau9[[#This Row],[Colonne1]],Tableau124[#All],4,FALSE)</f>
        <v>21000</v>
      </c>
      <c r="F26" s="119" t="str">
        <f>VLOOKUP(Tableau9[[#This Row],[Colonne1]],Tableau124[#All],5,FALSE)</f>
        <v>CHU Dijon, 14 rue Paul Gaffarel</v>
      </c>
      <c r="G26" s="121" t="str">
        <f>VLOOKUP(Tableau9[[#This Row],[Colonne1]],Tableau124[#All],6,FALSE)</f>
        <v>ELSA</v>
      </c>
      <c r="H26" s="119" t="str">
        <f>VLOOKUP(Tableau9[[#This Row],[Colonne1]],Tableau124[#All],7,FALSE)</f>
        <v>CHU Dijon</v>
      </c>
      <c r="I26" s="119" t="str">
        <f>VLOOKUP(Tableau9[[#This Row],[Colonne1]],Tableau124[#All],8,FALSE)</f>
        <v>Public</v>
      </c>
      <c r="J26" s="277" t="str">
        <f>VLOOKUP(Tableau9[[#This Row],[Colonne1]],Tableau124[#All],9,FALSE)</f>
        <v>addictologie@chu-dijon.fr</v>
      </c>
      <c r="K26" s="310" t="str">
        <f>VLOOKUP(Tableau9[[#This Row],[Colonne1]],Tableau124[#All],10,FALSE)</f>
        <v>0380293524</v>
      </c>
      <c r="L26" s="277" t="str">
        <f>VLOOKUP(Tableau9[[#This Row],[Colonne1]],Tableau124[#All],11,FALSE)</f>
        <v>https://www.chu-dijon.fr/</v>
      </c>
      <c r="M26" s="216" t="str">
        <f>VLOOKUP(Tableau9[[#This Row],[Colonne1]],Tableau124[#All],12,FALSE)</f>
        <v xml:space="preserve">  </v>
      </c>
      <c r="N26" s="231" t="str">
        <f>VLOOKUP(Tableau9[[#This Row],[Colonne1]],Tableau124[#All],13,FALSE)</f>
        <v>- intervention auprès de public majeur ; 
- L'ELSA intervient dans l'ensemble des services hospitaliers du CHU de Dijon</v>
      </c>
    </row>
    <row r="27" spans="2:14" ht="86.5" customHeight="1">
      <c r="B27" s="139">
        <v>19</v>
      </c>
      <c r="C27" s="104" t="str">
        <f>VLOOKUP(Tableau9[[#This Row],[Colonne1]],Tableau124[#All],2,FALSE)</f>
        <v>Côte-d’Or (21)</v>
      </c>
      <c r="D27" s="104" t="str">
        <f>VLOOKUP(Tableau9[[#This Row],[Colonne1]],Tableau124[#All],3,FALSE)</f>
        <v>Dijon</v>
      </c>
      <c r="E27" s="104" t="str">
        <f>VLOOKUP(Tableau9[[#This Row],[Colonne1]],Tableau124[#All],4,FALSE)</f>
        <v>21000</v>
      </c>
      <c r="F27" s="104" t="str">
        <f>VLOOKUP(Tableau9[[#This Row],[Colonne1]],Tableau124[#All],5,FALSE)</f>
        <v>Hôpital François Mitterrand
CHU de Dijon
Bâtiment Marion (entrée N°5)
14 Rue Paul Gaffarel</v>
      </c>
      <c r="G27" s="104" t="str">
        <f>VLOOKUP(Tableau9[[#This Row],[Colonne1]],Tableau124[#All],6,FALSE)</f>
        <v>Consultations Hospitalières externes d'addictologie</v>
      </c>
      <c r="H27" s="104" t="str">
        <f>VLOOKUP(Tableau9[[#This Row],[Colonne1]],Tableau124[#All],7,FALSE)</f>
        <v>CHU Dijon</v>
      </c>
      <c r="I27" s="104" t="str">
        <f>VLOOKUP(Tableau9[[#This Row],[Colonne1]],Tableau124[#All],8,FALSE)</f>
        <v>Public</v>
      </c>
      <c r="J27" s="264" t="str">
        <f>VLOOKUP(Tableau9[[#This Row],[Colonne1]],Tableau124[#All],9,FALSE)</f>
        <v>addictologie@chu-dijon.fr</v>
      </c>
      <c r="K27" s="200" t="str">
        <f>VLOOKUP(Tableau9[[#This Row],[Colonne1]],Tableau124[#All],10,FALSE)</f>
        <v>03.80.29.35.24</v>
      </c>
      <c r="L27" s="264" t="str">
        <f>VLOOKUP(Tableau9[[#This Row],[Colonne1]],Tableau124[#All],11,FALSE)</f>
        <v>https://www.chu-dijon.fr/</v>
      </c>
      <c r="M27" s="122" t="str">
        <f>VLOOKUP(Tableau9[[#This Row],[Colonne1]],Tableau124[#All],12,FALSE)</f>
        <v>Lundi-Vendredi, 9h-17h</v>
      </c>
      <c r="N27" s="123" t="str">
        <f>VLOOKUP(Tableau9[[#This Row],[Colonne1]],Tableau124[#All],13,FALSE)</f>
        <v xml:space="preserve">Intervention auprès de public majeurs </v>
      </c>
    </row>
    <row r="28" spans="2:14" ht="86.5" customHeight="1">
      <c r="B28" s="139">
        <v>25</v>
      </c>
      <c r="C28" s="93" t="str">
        <f>VLOOKUP(Tableau9[[#This Row],[Colonne1]],Tableau124[#All],2,FALSE)</f>
        <v>Côte-d’Or (21)</v>
      </c>
      <c r="D28" s="93" t="str">
        <f>VLOOKUP(Tableau9[[#This Row],[Colonne1]],Tableau124[#All],3,FALSE)</f>
        <v>Dijon</v>
      </c>
      <c r="E28" s="93" t="str">
        <f>VLOOKUP(Tableau9[[#This Row],[Colonne1]],Tableau124[#All],4,FALSE)</f>
        <v>21000</v>
      </c>
      <c r="F28" s="93" t="str">
        <f>VLOOKUP(Tableau9[[#This Row],[Colonne1]],Tableau124[#All],5,FALSE)</f>
        <v>Hôpital François Mitterrand
CHU de Dijon
Bâtiment Marion (entrée N°5)
14 Rue Paul Gaffarel</v>
      </c>
      <c r="G28" s="93" t="str">
        <f>VLOOKUP(Tableau9[[#This Row],[Colonne1]],Tableau124[#All],6,FALSE)</f>
        <v>Sevrage simple</v>
      </c>
      <c r="H28" s="93" t="str">
        <f>VLOOKUP(Tableau9[[#This Row],[Colonne1]],Tableau124[#All],7,FALSE)</f>
        <v>CHU Dijon</v>
      </c>
      <c r="I28" s="93" t="str">
        <f>VLOOKUP(Tableau9[[#This Row],[Colonne1]],Tableau124[#All],8,FALSE)</f>
        <v>Public</v>
      </c>
      <c r="J28" s="279" t="str">
        <f>VLOOKUP(Tableau9[[#This Row],[Colonne1]],Tableau124[#All],9,FALSE)</f>
        <v>addictologie@chu-dijon.fr</v>
      </c>
      <c r="K28" s="309" t="str">
        <f>VLOOKUP(Tableau9[[#This Row],[Colonne1]],Tableau124[#All],10,FALSE)</f>
        <v>03.80.28.15.28</v>
      </c>
      <c r="L28" s="279" t="str">
        <f>VLOOKUP(Tableau9[[#This Row],[Colonne1]],Tableau124[#All],11,FALSE)</f>
        <v>https://www.chu-dijon.fr/</v>
      </c>
      <c r="M28" s="216" t="str">
        <f>VLOOKUP(Tableau9[[#This Row],[Colonne1]],Tableau124[#All],12,FALSE)</f>
        <v xml:space="preserve">  </v>
      </c>
      <c r="N28" s="232" t="str">
        <f>VLOOKUP(Tableau9[[#This Row],[Colonne1]],Tableau124[#All],13,FALSE)</f>
        <v>- interventions auprès d'un public majeur ; 
- lits installés au sein d'une même unité ; 
- unité de service hospitalo-universitaire d'addictologie</v>
      </c>
    </row>
    <row r="29" spans="2:14" ht="86.5" customHeight="1">
      <c r="B29" s="139">
        <v>28</v>
      </c>
      <c r="C29" s="118" t="str">
        <f>VLOOKUP(Tableau9[[#This Row],[Colonne1]],Tableau124[#All],2,FALSE)</f>
        <v>Côte-d’Or (21)</v>
      </c>
      <c r="D29" s="118" t="str">
        <f>VLOOKUP(Tableau9[[#This Row],[Colonne1]],Tableau124[#All],3,FALSE)</f>
        <v>Dijon</v>
      </c>
      <c r="E29" s="118" t="str">
        <f>VLOOKUP(Tableau9[[#This Row],[Colonne1]],Tableau124[#All],4,FALSE)</f>
        <v>21000</v>
      </c>
      <c r="F29" s="118" t="str">
        <f>VLOOKUP(Tableau9[[#This Row],[Colonne1]],Tableau124[#All],5,FALSE)</f>
        <v>Hôpital François Mitterrand
CHU de Dijon
Bâtiment Marion (entrée N°5)
14 Rue Paul Gaffarel</v>
      </c>
      <c r="G29" s="117" t="str">
        <f>VLOOKUP(Tableau9[[#This Row],[Colonne1]],Tableau124[#All],6,FALSE)</f>
        <v>Soins complexes</v>
      </c>
      <c r="H29" s="118" t="str">
        <f>VLOOKUP(Tableau9[[#This Row],[Colonne1]],Tableau124[#All],7,FALSE)</f>
        <v>CHU Dijon</v>
      </c>
      <c r="I29" s="118" t="str">
        <f>VLOOKUP(Tableau9[[#This Row],[Colonne1]],Tableau124[#All],8,FALSE)</f>
        <v>Public</v>
      </c>
      <c r="J29" s="287" t="str">
        <f>VLOOKUP(Tableau9[[#This Row],[Colonne1]],Tableau124[#All],9,FALSE)</f>
        <v>addictologie@chu-dijon.fr</v>
      </c>
      <c r="K29" s="312" t="str">
        <f>VLOOKUP(Tableau9[[#This Row],[Colonne1]],Tableau124[#All],10,FALSE)</f>
        <v>03.80.28.15.28</v>
      </c>
      <c r="L29" s="287" t="str">
        <f>VLOOKUP(Tableau9[[#This Row],[Colonne1]],Tableau124[#All],11,FALSE)</f>
        <v>https://www.chu-dijon.fr/</v>
      </c>
      <c r="M29" s="216" t="str">
        <f>VLOOKUP(Tableau9[[#This Row],[Colonne1]],Tableau124[#All],12,FALSE)</f>
        <v xml:space="preserve">  </v>
      </c>
      <c r="N29" s="237" t="str">
        <f>VLOOKUP(Tableau9[[#This Row],[Colonne1]],Tableau124[#All],13,FALSE)</f>
        <v xml:space="preserve">- intervention auprès de public majeur ; 
- accueille également des patients pour des sevrages simples </v>
      </c>
    </row>
    <row r="30" spans="2:14" ht="86.5" customHeight="1">
      <c r="B30" s="139">
        <v>29</v>
      </c>
      <c r="C30" s="182" t="str">
        <f>VLOOKUP(Tableau9[[#This Row],[Colonne1]],Tableau124[#All],2,FALSE)</f>
        <v>Côte-d’Or (21)</v>
      </c>
      <c r="D30" s="182" t="str">
        <f>VLOOKUP(Tableau9[[#This Row],[Colonne1]],Tableau124[#All],3,FALSE)</f>
        <v>Dijon</v>
      </c>
      <c r="E30" s="182" t="str">
        <f>VLOOKUP(Tableau9[[#This Row],[Colonne1]],Tableau124[#All],4,FALSE)</f>
        <v>21000</v>
      </c>
      <c r="F30" s="182" t="str">
        <f>VLOOKUP(Tableau9[[#This Row],[Colonne1]],Tableau124[#All],5,FALSE)</f>
        <v>Hôpital François Mitterrand
CHU de Dijon
Bâtiment Marion (entrée N°5)
14 Rue Paul Gaffarel</v>
      </c>
      <c r="G30" s="183" t="str">
        <f>VLOOKUP(Tableau9[[#This Row],[Colonne1]],Tableau124[#All],6,FALSE)</f>
        <v>Unité d'hospitalisation de jour</v>
      </c>
      <c r="H30" s="182" t="str">
        <f>VLOOKUP(Tableau9[[#This Row],[Colonne1]],Tableau124[#All],7,FALSE)</f>
        <v>CHU Dijon</v>
      </c>
      <c r="I30" s="182" t="str">
        <f>VLOOKUP(Tableau9[[#This Row],[Colonne1]],Tableau124[#All],8,FALSE)</f>
        <v>Public</v>
      </c>
      <c r="J30" s="294" t="str">
        <f>VLOOKUP(Tableau9[[#This Row],[Colonne1]],Tableau124[#All],9,FALSE)</f>
        <v>addictologie@chu-dijon.fr</v>
      </c>
      <c r="K30" s="313" t="str">
        <f>VLOOKUP(Tableau9[[#This Row],[Colonne1]],Tableau124[#All],10,FALSE)</f>
        <v>0380295437</v>
      </c>
      <c r="L30" s="294" t="str">
        <f>VLOOKUP(Tableau9[[#This Row],[Colonne1]],Tableau124[#All],11,FALSE)</f>
        <v>https://www.chu-dijon.fr/</v>
      </c>
      <c r="M30" s="182" t="str">
        <f>VLOOKUP(Tableau9[[#This Row],[Colonne1]],Tableau124[#All],12,FALSE)</f>
        <v>Lundi-vendredi, 9h-16h</v>
      </c>
      <c r="N30" s="238" t="str">
        <f>VLOOKUP(Tableau9[[#This Row],[Colonne1]],Tableau124[#All],13,FALSE)</f>
        <v>- intervention auprès d'un public majeur</v>
      </c>
    </row>
    <row r="31" spans="2:14" ht="86.5" customHeight="1">
      <c r="B31" s="139">
        <v>20</v>
      </c>
      <c r="C31" s="135" t="str">
        <f>VLOOKUP(Tableau9[[#This Row],[Colonne1]],Tableau124[#All],2,FALSE)</f>
        <v>Côte-d’Or (21)</v>
      </c>
      <c r="D31" s="135" t="str">
        <f>VLOOKUP(Tableau9[[#This Row],[Colonne1]],Tableau124[#All],3,FALSE)</f>
        <v>Dijon</v>
      </c>
      <c r="E31" s="135" t="str">
        <f>VLOOKUP(Tableau9[[#This Row],[Colonne1]],Tableau124[#All],4,FALSE)</f>
        <v>21000</v>
      </c>
      <c r="F31" s="96" t="str">
        <f>VLOOKUP(Tableau9[[#This Row],[Colonne1]],Tableau124[#All],5,FALSE)</f>
        <v xml:space="preserve">1 rue Jules Toutain </v>
      </c>
      <c r="G31" s="135" t="str">
        <f>VLOOKUP(Tableau9[[#This Row],[Colonne1]],Tableau124[#All],6,FALSE)</f>
        <v>CSAPA</v>
      </c>
      <c r="H31" s="96" t="str">
        <f>VLOOKUP(Tableau9[[#This Row],[Colonne1]],Tableau124[#All],7,FALSE)</f>
        <v>CSAPA La Santoline, SEDAP</v>
      </c>
      <c r="I31" s="135" t="str">
        <f>VLOOKUP(Tableau9[[#This Row],[Colonne1]],Tableau124[#All],8,FALSE)</f>
        <v>Associatif</v>
      </c>
      <c r="J31" s="269" t="str">
        <f>VLOOKUP(Tableau9[[#This Row],[Colonne1]],Tableau124[#All],9,FALSE)</f>
        <v>santoline@addictions-sedap.fr</v>
      </c>
      <c r="K31" s="199" t="str">
        <f>VLOOKUP(Tableau9[[#This Row],[Colonne1]],Tableau124[#All],10,FALSE)</f>
        <v>03 80 65 20 47</v>
      </c>
      <c r="L31" s="269" t="str">
        <f>VLOOKUP(Tableau9[[#This Row],[Colonne1]],Tableau124[#All],11,FALSE)</f>
        <v>www.addictions-sedap.fr</v>
      </c>
      <c r="M31" s="96" t="str">
        <f>VLOOKUP(Tableau9[[#This Row],[Colonne1]],Tableau124[#All],12,FALSE)</f>
        <v>Ouvert 330 jours par an</v>
      </c>
      <c r="N31" s="243" t="str">
        <f>VLOOKUP(Tableau9[[#This Row],[Colonne1]],Tableau124[#All],13,FALSE)</f>
        <v>CSAPA avec hébergement accueillant des personnes majeures, des couples. Dispositif pour femmes enceintes, parents isolés avec enfants. Accueil en aménagement de peine (placement extérieur). Dispositif d'appartements thérapeutiques.</v>
      </c>
    </row>
    <row r="32" spans="2:14" ht="86.5" customHeight="1">
      <c r="B32" s="139">
        <v>30</v>
      </c>
      <c r="C32" s="135" t="str">
        <f>VLOOKUP(Tableau9[[#This Row],[Colonne1]],Tableau124[#All],2,FALSE)</f>
        <v>Côte-d’Or (21)</v>
      </c>
      <c r="D32" s="135" t="str">
        <f>VLOOKUP(Tableau9[[#This Row],[Colonne1]],Tableau124[#All],3,FALSE)</f>
        <v>Dijon</v>
      </c>
      <c r="E32" s="135">
        <f>VLOOKUP(Tableau9[[#This Row],[Colonne1]],Tableau124[#All],4,FALSE)</f>
        <v>21000</v>
      </c>
      <c r="F32" s="135" t="str">
        <f>VLOOKUP(Tableau9[[#This Row],[Colonne1]],Tableau124[#All],5,FALSE)</f>
        <v>Maison d'Arrêt de Dijon
72 bis rue d'Auxonne</v>
      </c>
      <c r="G32" s="135" t="str">
        <f>VLOOKUP(Tableau9[[#This Row],[Colonne1]],Tableau124[#All],6,FALSE)</f>
        <v xml:space="preserve">CSAPA </v>
      </c>
      <c r="H32" s="135" t="str">
        <f>VLOOKUP(Tableau9[[#This Row],[Colonne1]],Tableau124[#All],7,FALSE)</f>
        <v>CSAPA Le Bélem CH La Chartreuse</v>
      </c>
      <c r="I32" s="135" t="str">
        <f>VLOOKUP(Tableau9[[#This Row],[Colonne1]],Tableau124[#All],8,FALSE)</f>
        <v>Public</v>
      </c>
      <c r="J32" s="269" t="str">
        <f>VLOOKUP(Tableau9[[#This Row],[Colonne1]],Tableau124[#All],9,FALSE)</f>
        <v xml:space="preserve">https://www.ch-lachartreuse-dijon-cotedor.fr/ </v>
      </c>
      <c r="K32" s="199" t="str">
        <f>VLOOKUP(Tableau9[[#This Row],[Colonne1]],Tableau124[#All],10,FALSE)</f>
        <v>03 80 67 08 33</v>
      </c>
      <c r="L32" s="269" t="str">
        <f>VLOOKUP(Tableau9[[#This Row],[Colonne1]],Tableau124[#All],11,FALSE)</f>
        <v>csapa@chlcdijon.fr</v>
      </c>
      <c r="M32" s="96" t="str">
        <f>VLOOKUP(Tableau9[[#This Row],[Colonne1]],Tableau124[#All],12,FALSE)</f>
        <v>Lundi au vendredi de 9H à 17h30</v>
      </c>
      <c r="N32" s="235" t="str">
        <f>VLOOKUP(Tableau9[[#This Row],[Colonne1]],Tableau124[#All],13,FALSE)</f>
        <v>CSAPA à vocation exclusivement pénitentiaire et sommes désignés par l'ARS comme CSAPA référent en milieu pénitentiaire</v>
      </c>
    </row>
    <row r="33" spans="2:14" ht="86.5" customHeight="1">
      <c r="B33" s="139">
        <v>21</v>
      </c>
      <c r="C33" s="135" t="str">
        <f>VLOOKUP(Tableau9[[#This Row],[Colonne1]],Tableau124[#All],2,FALSE)</f>
        <v>Côte-d’Or (21)</v>
      </c>
      <c r="D33" s="135" t="str">
        <f>VLOOKUP(Tableau9[[#This Row],[Colonne1]],Tableau124[#All],3,FALSE)</f>
        <v>Dijon</v>
      </c>
      <c r="E33" s="135" t="str">
        <f>VLOOKUP(Tableau9[[#This Row],[Colonne1]],Tableau124[#All],4,FALSE)</f>
        <v>21000</v>
      </c>
      <c r="F33" s="135" t="str">
        <f>VLOOKUP(Tableau9[[#This Row],[Colonne1]],Tableau124[#All],5,FALSE)</f>
        <v>7 RUE FEVRET</v>
      </c>
      <c r="G33" s="135" t="str">
        <f>VLOOKUP(Tableau9[[#This Row],[Colonne1]],Tableau124[#All],6,FALSE)</f>
        <v>CSAPA</v>
      </c>
      <c r="H33" s="135" t="str">
        <f>VLOOKUP(Tableau9[[#This Row],[Colonne1]],Tableau124[#All],7,FALSE)</f>
        <v>CSAPA Tivoli, Caarud le Spot - SEDAP</v>
      </c>
      <c r="I33" s="135" t="str">
        <f>VLOOKUP(Tableau9[[#This Row],[Colonne1]],Tableau124[#All],8,FALSE)</f>
        <v>Associatif</v>
      </c>
      <c r="J33" s="525" t="str">
        <f>VLOOKUP(Tableau9[[#This Row],[Colonne1]],Tableau124[#All],9,FALSE)</f>
        <v>tivoli@addictions-sedap.fr</v>
      </c>
      <c r="K33" s="199" t="str">
        <f>VLOOKUP(Tableau9[[#This Row],[Colonne1]],Tableau124[#All],10,FALSE)</f>
        <v>0811466280</v>
      </c>
      <c r="L33" s="269" t="str">
        <f>VLOOKUP(Tableau9[[#This Row],[Colonne1]],Tableau124[#All],11,FALSE)</f>
        <v>www.addictions-sedap.fr</v>
      </c>
      <c r="M33" s="96" t="str">
        <f>VLOOKUP(Tableau9[[#This Row],[Colonne1]],Tableau124[#All],12,FALSE)</f>
        <v>Tous les jours : 09h-12h - 14h-18h</v>
      </c>
      <c r="N33" s="235" t="str">
        <f>VLOOKUP(Tableau9[[#This Row],[Colonne1]],Tableau124[#All],13,FALSE)</f>
        <v xml:space="preserve">- réalisation de consultations avancées (Montbard) ;
- Dispositif de soin résidentiel sous forme de centre thérapeutique résidentiel sur Dijon (1 rue Toutain) ;
- Proposition de tests rapide d'orientation diagnostic (TROD) ;
- Dispositif anti-overdose ;
- Présence d'une CJC. </v>
      </c>
    </row>
    <row r="34" spans="2:14" ht="86.5" customHeight="1">
      <c r="B34" s="139">
        <v>17</v>
      </c>
      <c r="C34" s="180" t="str">
        <f>VLOOKUP(Tableau9[[#This Row],[Colonne1]],Tableau124[#All],2,FALSE)</f>
        <v>Côte-d’Or (21)</v>
      </c>
      <c r="D34" s="180" t="str">
        <f>VLOOKUP(Tableau9[[#This Row],[Colonne1]],Tableau124[#All],3,FALSE)</f>
        <v>Dijon</v>
      </c>
      <c r="E34" s="180">
        <f>VLOOKUP(Tableau9[[#This Row],[Colonne1]],Tableau124[#All],4,FALSE)</f>
        <v>21000</v>
      </c>
      <c r="F34" s="180" t="str">
        <f>VLOOKUP(Tableau9[[#This Row],[Colonne1]],Tableau124[#All],5,FALSE)</f>
        <v>6, Avenue Jean Bertin</v>
      </c>
      <c r="G34" s="180" t="str">
        <f>VLOOKUP(Tableau9[[#This Row],[Colonne1]],Tableau124[#All],6,FALSE)</f>
        <v>CJC</v>
      </c>
      <c r="H34" s="180" t="str">
        <f>VLOOKUP(Tableau9[[#This Row],[Colonne1]],Tableau124[#All],7,FALSE)</f>
        <v>CSAPA Tivoli, Caarud le Spot - SEDAP</v>
      </c>
      <c r="I34" s="180" t="str">
        <f>VLOOKUP(Tableau9[[#This Row],[Colonne1]],Tableau124[#All],8,FALSE)</f>
        <v>Associatif</v>
      </c>
      <c r="J34" s="305" t="str">
        <f>VLOOKUP(Tableau9[[#This Row],[Colonne1]],Tableau124[#All],9,FALSE)</f>
        <v>tivoli@addictions-sedap.fr</v>
      </c>
      <c r="K34" s="202" t="str">
        <f>VLOOKUP(Tableau9[[#This Row],[Colonne1]],Tableau124[#All],10,FALSE)</f>
        <v>0811466280</v>
      </c>
      <c r="L34" s="305" t="str">
        <f>VLOOKUP(Tableau9[[#This Row],[Colonne1]],Tableau124[#All],11,FALSE)</f>
        <v>www.addictions-sedap.fr</v>
      </c>
      <c r="M34" s="218" t="str">
        <f>VLOOKUP(Tableau9[[#This Row],[Colonne1]],Tableau124[#All],12,FALSE)</f>
        <v>Tous les jours</v>
      </c>
      <c r="N34" s="234" t="str">
        <f>VLOOKUP(Tableau9[[#This Row],[Colonne1]],Tableau124[#All],13,FALSE)</f>
        <v xml:space="preserve">- Accueil des familles ; 
- Orientation sur rendez-vous ;
- CJC accessible à la famille et l'entourage ; </v>
      </c>
    </row>
    <row r="35" spans="2:14" ht="86.5" customHeight="1">
      <c r="B35" s="139">
        <v>33</v>
      </c>
      <c r="C35" s="135" t="str">
        <f>VLOOKUP(Tableau9[[#This Row],[Colonne1]],Tableau124[#All],2,FALSE)</f>
        <v>Côte-d’Or (21)</v>
      </c>
      <c r="D35" s="135" t="str">
        <f>VLOOKUP(Tableau9[[#This Row],[Colonne1]],Tableau124[#All],3,FALSE)</f>
        <v>Fontaine Les Dijon</v>
      </c>
      <c r="E35" s="135" t="str">
        <f>VLOOKUP(Tableau9[[#This Row],[Colonne1]],Tableau124[#All],4,FALSE)</f>
        <v>21121</v>
      </c>
      <c r="F35" s="135" t="str">
        <f>VLOOKUP(Tableau9[[#This Row],[Colonne1]],Tableau124[#All],5,FALSE)</f>
        <v>Immeuble Stratège 1 rue du Dauphiné 21121 Fontaine les Dijon</v>
      </c>
      <c r="G35" s="135" t="str">
        <f>VLOOKUP(Tableau9[[#This Row],[Colonne1]],Tableau124[#All],6,FALSE)</f>
        <v>CSAPA</v>
      </c>
      <c r="H35" s="135" t="str">
        <f>VLOOKUP(Tableau9[[#This Row],[Colonne1]],Tableau124[#All],7,FALSE)</f>
        <v>Association Addictions France 21</v>
      </c>
      <c r="I35" s="135" t="str">
        <f>VLOOKUP(Tableau9[[#This Row],[Colonne1]],Tableau124[#All],8,FALSE)</f>
        <v>Associatif</v>
      </c>
      <c r="J35" s="275" t="str">
        <f>VLOOKUP(Tableau9[[#This Row],[Colonne1]],Tableau124[#All],9,FALSE)</f>
        <v>csapa.dijon@addictions-france.org</v>
      </c>
      <c r="K35" s="315" t="str">
        <f>VLOOKUP(Tableau9[[#This Row],[Colonne1]],Tableau124[#All],10,FALSE)</f>
        <v>03 80 73 26 32</v>
      </c>
      <c r="L35" s="269" t="str">
        <f>VLOOKUP(Tableau9[[#This Row],[Colonne1]],Tableau124[#All],11,FALSE)</f>
        <v>www.addictions-france.org</v>
      </c>
      <c r="M35" s="96" t="str">
        <f>VLOOKUP(Tableau9[[#This Row],[Colonne1]],Tableau124[#All],12,FALSE)</f>
        <v xml:space="preserve">Lun au ve : 9h 12h - 14h 17h
</v>
      </c>
      <c r="N35" s="134" t="str">
        <f>VLOOKUP(Tableau9[[#This Row],[Colonne1]],Tableau124[#All],13,FALSE)</f>
        <v xml:space="preserve">   </v>
      </c>
    </row>
    <row r="36" spans="2:14" ht="86.5" customHeight="1">
      <c r="B36" s="139">
        <v>32</v>
      </c>
      <c r="C36" s="135" t="str">
        <f>VLOOKUP(Tableau9[[#This Row],[Colonne1]],Tableau124[#All],2,FALSE)</f>
        <v>Côte-d’Or (21)</v>
      </c>
      <c r="D36" s="135" t="str">
        <f>VLOOKUP(Tableau9[[#This Row],[Colonne1]],Tableau124[#All],3,FALSE)</f>
        <v>Fontaine Les Dijon</v>
      </c>
      <c r="E36" s="135" t="str">
        <f>VLOOKUP(Tableau9[[#This Row],[Colonne1]],Tableau124[#All],4,FALSE)</f>
        <v>21121</v>
      </c>
      <c r="F36" s="135" t="str">
        <f>VLOOKUP(Tableau9[[#This Row],[Colonne1]],Tableau124[#All],5,FALSE)</f>
        <v>Dispositif grands marginaux, rue Sully 21000 Dijon</v>
      </c>
      <c r="G36" s="135" t="str">
        <f>VLOOKUP(Tableau9[[#This Row],[Colonne1]],Tableau124[#All],6,FALSE)</f>
        <v>CSAPA (Consultations avancées)</v>
      </c>
      <c r="H36" s="135" t="str">
        <f>VLOOKUP(Tableau9[[#This Row],[Colonne1]],Tableau124[#All],7,FALSE)</f>
        <v>Association Addictions France 21</v>
      </c>
      <c r="I36" s="135" t="str">
        <f>VLOOKUP(Tableau9[[#This Row],[Colonne1]],Tableau124[#All],8,FALSE)</f>
        <v>Associatif</v>
      </c>
      <c r="J36" s="275" t="str">
        <f>VLOOKUP(Tableau9[[#This Row],[Colonne1]],Tableau124[#All],9,FALSE)</f>
        <v>csapa.dijon@addictions-france.org</v>
      </c>
      <c r="K36" s="315" t="str">
        <f>VLOOKUP(Tableau9[[#This Row],[Colonne1]],Tableau124[#All],10,FALSE)</f>
        <v>03 80 73 26 32</v>
      </c>
      <c r="L36" s="269" t="str">
        <f>VLOOKUP(Tableau9[[#This Row],[Colonne1]],Tableau124[#All],11,FALSE)</f>
        <v>www.addictions-france.org</v>
      </c>
      <c r="M36" s="227" t="str">
        <f>VLOOKUP(Tableau9[[#This Row],[Colonne1]],Tableau124[#All],12,FALSE)</f>
        <v>1 Vendredi sur 2: 9h30  11h30</v>
      </c>
      <c r="N36" s="134" t="str">
        <f>VLOOKUP(Tableau9[[#This Row],[Colonne1]],Tableau124[#All],13,FALSE)</f>
        <v>consultations avancées</v>
      </c>
    </row>
    <row r="37" spans="2:14" ht="86.5" customHeight="1">
      <c r="B37" s="139">
        <v>35</v>
      </c>
      <c r="C37" s="135" t="str">
        <f>VLOOKUP(Tableau9[[#This Row],[Colonne1]],Tableau124[#All],2,FALSE)</f>
        <v>Côte-d’Or (21)</v>
      </c>
      <c r="D37" s="135" t="str">
        <f>VLOOKUP(Tableau9[[#This Row],[Colonne1]],Tableau124[#All],3,FALSE)</f>
        <v>Is-Sur-Tille</v>
      </c>
      <c r="E37" s="135">
        <f>VLOOKUP(Tableau9[[#This Row],[Colonne1]],Tableau124[#All],4,FALSE)</f>
        <v>21120</v>
      </c>
      <c r="F37" s="135" t="str">
        <f>VLOOKUP(Tableau9[[#This Row],[Colonne1]],Tableau124[#All],5,FALSE)</f>
        <v>20, place Général Leclerc</v>
      </c>
      <c r="G37" s="135" t="str">
        <f>VLOOKUP(Tableau9[[#This Row],[Colonne1]],Tableau124[#All],6,FALSE)</f>
        <v>Antenne CSAPA</v>
      </c>
      <c r="H37" s="135" t="str">
        <f>VLOOKUP(Tableau9[[#This Row],[Colonne1]],Tableau124[#All],7,FALSE)</f>
        <v>CSAPA Tivoli, Caarud le Spot - SEDAP</v>
      </c>
      <c r="I37" s="135" t="str">
        <f>VLOOKUP(Tableau9[[#This Row],[Colonne1]],Tableau124[#All],8,FALSE)</f>
        <v>Associatif</v>
      </c>
      <c r="J37" s="269" t="str">
        <f>VLOOKUP(Tableau9[[#This Row],[Colonne1]],Tableau124[#All],9,FALSE)</f>
        <v>seine-tilles@addictions-sedap.fr</v>
      </c>
      <c r="K37" s="199">
        <f>VLOOKUP(Tableau9[[#This Row],[Colonne1]],Tableau124[#All],10,FALSE)</f>
        <v>811466280</v>
      </c>
      <c r="L37" s="273" t="str">
        <f>VLOOKUP(Tableau9[[#This Row],[Colonne1]],Tableau124[#All],11,FALSE)</f>
        <v xml:space="preserve"> </v>
      </c>
      <c r="M37" s="96" t="str">
        <f>VLOOKUP(Tableau9[[#This Row],[Colonne1]],Tableau124[#All],12,FALSE)</f>
        <v>Les lundis, mercredis 9h-12/14h-18 et vendredis 14h-18h</v>
      </c>
      <c r="N37" s="417" t="str">
        <f>VLOOKUP(Tableau9[[#This Row],[Colonne1]],Tableau124[#All],13,FALSE)</f>
        <v xml:space="preserve">    </v>
      </c>
    </row>
    <row r="38" spans="2:14" ht="86.5" customHeight="1">
      <c r="B38" s="139">
        <v>259</v>
      </c>
      <c r="C38" s="135" t="str">
        <f>VLOOKUP(Tableau9[[#This Row],[Colonne1]],Tableau124[#All],2,FALSE)</f>
        <v>Côte-d’Or (21)</v>
      </c>
      <c r="D38" s="135" t="str">
        <f>VLOOKUP(Tableau9[[#This Row],[Colonne1]],Tableau124[#All],3,FALSE)</f>
        <v>Longvic</v>
      </c>
      <c r="E38" s="135">
        <f>VLOOKUP(Tableau9[[#This Row],[Colonne1]],Tableau124[#All],4,FALSE)</f>
        <v>21600</v>
      </c>
      <c r="F38" s="135" t="str">
        <f>VLOOKUP(Tableau9[[#This Row],[Colonne1]],Tableau124[#All],5,FALSE)</f>
        <v>CMP 2bis route de Dijon 21600 Longvic</v>
      </c>
      <c r="G38" s="135" t="str">
        <f>VLOOKUP(Tableau9[[#This Row],[Colonne1]],Tableau124[#All],6,FALSE)</f>
        <v>CSAPA (consultations avancées)</v>
      </c>
      <c r="H38" s="135" t="str">
        <f>VLOOKUP(Tableau9[[#This Row],[Colonne1]],Tableau124[#All],7,FALSE)</f>
        <v>Association Addictions France</v>
      </c>
      <c r="I38" s="135" t="str">
        <f>VLOOKUP(Tableau9[[#This Row],[Colonne1]],Tableau124[#All],8,FALSE)</f>
        <v>Associatif</v>
      </c>
      <c r="J38" s="135" t="str">
        <f>VLOOKUP(Tableau9[[#This Row],[Colonne1]],Tableau124[#All],9,FALSE)</f>
        <v>csapa.dijon@addictions-france.org</v>
      </c>
      <c r="K38" s="135" t="str">
        <f>VLOOKUP(Tableau9[[#This Row],[Colonne1]],Tableau124[#All],10,FALSE)</f>
        <v>03 80 73 26 32</v>
      </c>
      <c r="L38" s="135" t="str">
        <f>VLOOKUP(Tableau9[[#This Row],[Colonne1]],Tableau124[#All],11,FALSE)</f>
        <v>www.addictions-france.org</v>
      </c>
      <c r="M38" s="135" t="str">
        <f>VLOOKUP(Tableau9[[#This Row],[Colonne1]],Tableau124[#All],12,FALSE)</f>
        <v>vendredi : 9h-13h 13h30-17h</v>
      </c>
      <c r="N38" s="191"/>
    </row>
    <row r="39" spans="2:14" ht="86.5" customHeight="1">
      <c r="B39" s="139">
        <v>37</v>
      </c>
      <c r="C39" s="104" t="str">
        <f>VLOOKUP(Tableau9[[#This Row],[Colonne1]],Tableau124[#All],2,FALSE)</f>
        <v>Côte-d’Or (21)</v>
      </c>
      <c r="D39" s="104" t="str">
        <f>VLOOKUP(Tableau9[[#This Row],[Colonne1]],Tableau124[#All],3,FALSE)</f>
        <v>Montbard</v>
      </c>
      <c r="E39" s="104">
        <f>VLOOKUP(Tableau9[[#This Row],[Colonne1]],Tableau124[#All],4,FALSE)</f>
        <v>21500</v>
      </c>
      <c r="F39" s="104" t="str">
        <f>VLOOKUP(Tableau9[[#This Row],[Colonne1]],Tableau124[#All],5,FALSE)</f>
        <v>Centre Hospitalier Haute Côte-d'Or - Site de Montbard 24 Rue Auguste Carré 21500 MONTBARD</v>
      </c>
      <c r="G39" s="104" t="str">
        <f>VLOOKUP(Tableau9[[#This Row],[Colonne1]],Tableau124[#All],6,FALSE)</f>
        <v>Consultations Hospitalières externes d'addictologie (autre lieu d'intervention)</v>
      </c>
      <c r="H39" s="104" t="str">
        <f>VLOOKUP(Tableau9[[#This Row],[Colonne1]],Tableau124[#All],7,FALSE)</f>
        <v>Centre Hospitalier - CHA (Centre Hospitalier Robert Morlevat)</v>
      </c>
      <c r="I39" s="104" t="str">
        <f>VLOOKUP(Tableau9[[#This Row],[Colonne1]],Tableau124[#All],8,FALSE)</f>
        <v>Public</v>
      </c>
      <c r="J39" s="264" t="str">
        <f>VLOOKUP(Tableau9[[#This Row],[Colonne1]],Tableau124[#All],9,FALSE)</f>
        <v>secretariat.psychiatrie@ch-semur.fr</v>
      </c>
      <c r="K39" s="200" t="str">
        <f>VLOOKUP(Tableau9[[#This Row],[Colonne1]],Tableau124[#All],10,FALSE)</f>
        <v>03.80.89.64.72</v>
      </c>
      <c r="L39" s="264" t="str">
        <f>VLOOKUP(Tableau9[[#This Row],[Colonne1]],Tableau124[#All],11,FALSE)</f>
        <v>www.ch-semur.fr</v>
      </c>
      <c r="M39" s="122" t="str">
        <f>VLOOKUP(Tableau9[[#This Row],[Colonne1]],Tableau124[#All],12,FALSE)</f>
        <v>sur RDV</v>
      </c>
      <c r="N39" s="123" t="str">
        <f>VLOOKUP(Tableau9[[#This Row],[Colonne1]],Tableau124[#All],13,FALSE)</f>
        <v>Intervention auprès de public majeurs et mineurs</v>
      </c>
    </row>
    <row r="40" spans="2:14" ht="86.5" customHeight="1">
      <c r="B40" s="139">
        <v>36</v>
      </c>
      <c r="C40" s="135" t="str">
        <f>VLOOKUP(Tableau9[[#This Row],[Colonne1]],Tableau124[#All],2,FALSE)</f>
        <v>Côte-d’Or (21)</v>
      </c>
      <c r="D40" s="135" t="str">
        <f>VLOOKUP(Tableau9[[#This Row],[Colonne1]],Tableau124[#All],3,FALSE)</f>
        <v>Montbard</v>
      </c>
      <c r="E40" s="135">
        <f>VLOOKUP(Tableau9[[#This Row],[Colonne1]],Tableau124[#All],4,FALSE)</f>
        <v>21500</v>
      </c>
      <c r="F40" s="135" t="str">
        <f>VLOOKUP(Tableau9[[#This Row],[Colonne1]],Tableau124[#All],5,FALSE)</f>
        <v>12 Av. Mal de Lattre de Tassigny (Lycée professionnel)</v>
      </c>
      <c r="G40" s="135" t="str">
        <f>VLOOKUP(Tableau9[[#This Row],[Colonne1]],Tableau124[#All],6,FALSE)</f>
        <v>Antenne CSAPA</v>
      </c>
      <c r="H40" s="135" t="str">
        <f>VLOOKUP(Tableau9[[#This Row],[Colonne1]],Tableau124[#All],7,FALSE)</f>
        <v>CSAPA Tivoli, Caarud le Spot - SEDAP</v>
      </c>
      <c r="I40" s="135" t="str">
        <f>VLOOKUP(Tableau9[[#This Row],[Colonne1]],Tableau124[#All],8,FALSE)</f>
        <v>Associatif</v>
      </c>
      <c r="J40" s="269" t="str">
        <f>VLOOKUP(Tableau9[[#This Row],[Colonne1]],Tableau124[#All],9,FALSE)</f>
        <v>tivoli@addictions-sedap.fr</v>
      </c>
      <c r="K40" s="199">
        <f>VLOOKUP(Tableau9[[#This Row],[Colonne1]],Tableau124[#All],10,FALSE)</f>
        <v>811466280</v>
      </c>
      <c r="L40" s="273" t="str">
        <f>VLOOKUP(Tableau9[[#This Row],[Colonne1]],Tableau124[#All],11,FALSE)</f>
        <v xml:space="preserve"> </v>
      </c>
      <c r="M40" s="96" t="str">
        <f>VLOOKUP(Tableau9[[#This Row],[Colonne1]],Tableau124[#All],12,FALSE)</f>
        <v xml:space="preserve">Tous les mardis : 9h-12h / 14h-18h </v>
      </c>
      <c r="N40" s="134" t="str">
        <f>VLOOKUP(Tableau9[[#This Row],[Colonne1]],Tableau124[#All],13,FALSE)</f>
        <v xml:space="preserve">   </v>
      </c>
    </row>
    <row r="41" spans="2:14" ht="86.5" customHeight="1">
      <c r="B41" s="139">
        <v>38</v>
      </c>
      <c r="C41" s="135" t="str">
        <f>VLOOKUP(Tableau9[[#This Row],[Colonne1]],Tableau124[#All],2,FALSE)</f>
        <v>Côte-d’Or (21)</v>
      </c>
      <c r="D41" s="135" t="str">
        <f>VLOOKUP(Tableau9[[#This Row],[Colonne1]],Tableau124[#All],3,FALSE)</f>
        <v>Montbard</v>
      </c>
      <c r="E41" s="135">
        <f>VLOOKUP(Tableau9[[#This Row],[Colonne1]],Tableau124[#All],4,FALSE)</f>
        <v>21500</v>
      </c>
      <c r="F41" s="135" t="str">
        <f>VLOOKUP(Tableau9[[#This Row],[Colonne1]],Tableau124[#All],5,FALSE)</f>
        <v>CSAPA Tivoli 
35, Rue d'Abrantes</v>
      </c>
      <c r="G41" s="135" t="str">
        <f>VLOOKUP(Tableau9[[#This Row],[Colonne1]],Tableau124[#All],6,FALSE)</f>
        <v>CSAPA (consultations avancées)</v>
      </c>
      <c r="H41" s="135" t="str">
        <f>VLOOKUP(Tableau9[[#This Row],[Colonne1]],Tableau124[#All],7,FALSE)</f>
        <v>CSAPA Tivoli</v>
      </c>
      <c r="I41" s="135" t="str">
        <f>VLOOKUP(Tableau9[[#This Row],[Colonne1]],Tableau124[#All],8,FALSE)</f>
        <v>Associatif</v>
      </c>
      <c r="J41" s="268">
        <f>VLOOKUP(Tableau9[[#This Row],[Colonne1]],Tableau124[#All],9,FALSE)</f>
        <v>0</v>
      </c>
      <c r="K41" s="199">
        <f>VLOOKUP(Tableau9[[#This Row],[Colonne1]],Tableau124[#All],10,FALSE)</f>
        <v>0</v>
      </c>
      <c r="L41" s="273" t="str">
        <f>VLOOKUP(Tableau9[[#This Row],[Colonne1]],Tableau124[#All],11,FALSE)</f>
        <v xml:space="preserve"> </v>
      </c>
      <c r="M41" s="96" t="str">
        <f>VLOOKUP(Tableau9[[#This Row],[Colonne1]],Tableau124[#All],12,FALSE)</f>
        <v>Mardi : 10h 16h</v>
      </c>
      <c r="N41" s="220" t="str">
        <f>VLOOKUP(Tableau9[[#This Row],[Colonne1]],Tableau124[#All],13,FALSE)</f>
        <v>Consultation avancée tous les mardis entre 10h et 16h ( binôme psychologue/travailleur social )</v>
      </c>
    </row>
    <row r="42" spans="2:14" ht="86.5" customHeight="1">
      <c r="B42" s="139">
        <v>39</v>
      </c>
      <c r="C42" s="135" t="str">
        <f>VLOOKUP(Tableau9[[#This Row],[Colonne1]],Tableau124[#All],2,FALSE)</f>
        <v>Côte-d’Or (21)</v>
      </c>
      <c r="D42" s="135" t="str">
        <f>VLOOKUP(Tableau9[[#This Row],[Colonne1]],Tableau124[#All],3,FALSE)</f>
        <v>Saulieu</v>
      </c>
      <c r="E42" s="135">
        <f>VLOOKUP(Tableau9[[#This Row],[Colonne1]],Tableau124[#All],4,FALSE)</f>
        <v>21210</v>
      </c>
      <c r="F42" s="135" t="str">
        <f>VLOOKUP(Tableau9[[#This Row],[Colonne1]],Tableau124[#All],5,FALSE)</f>
        <v>2 rue Courtépée</v>
      </c>
      <c r="G42" s="135" t="str">
        <f>VLOOKUP(Tableau9[[#This Row],[Colonne1]],Tableau124[#All],6,FALSE)</f>
        <v>Antenne CSAPA</v>
      </c>
      <c r="H42" s="135" t="str">
        <f>VLOOKUP(Tableau9[[#This Row],[Colonne1]],Tableau124[#All],7,FALSE)</f>
        <v>Association Addictions France 21</v>
      </c>
      <c r="I42" s="135" t="str">
        <f>VLOOKUP(Tableau9[[#This Row],[Colonne1]],Tableau124[#All],8,FALSE)</f>
        <v>Associatif</v>
      </c>
      <c r="J42" s="269" t="str">
        <f>VLOOKUP(Tableau9[[#This Row],[Colonne1]],Tableau124[#All],9,FALSE)</f>
        <v>csapa.dijon@addictions-france.org</v>
      </c>
      <c r="K42" s="199" t="str">
        <f>VLOOKUP(Tableau9[[#This Row],[Colonne1]],Tableau124[#All],10,FALSE)</f>
        <v>03 80 73 26 32</v>
      </c>
      <c r="L42" s="273" t="str">
        <f>VLOOKUP(Tableau9[[#This Row],[Colonne1]],Tableau124[#All],11,FALSE)</f>
        <v xml:space="preserve"> </v>
      </c>
      <c r="M42" s="96" t="str">
        <f>VLOOKUP(Tableau9[[#This Row],[Colonne1]],Tableau124[#All],12,FALSE)</f>
        <v>Jeudi : semaine paire 10h-16h30, semaine impaire 13h30 17h</v>
      </c>
      <c r="N42" s="134" t="str">
        <f>VLOOKUP(Tableau9[[#This Row],[Colonne1]],Tableau124[#All],13,FALSE)</f>
        <v xml:space="preserve">  </v>
      </c>
    </row>
    <row r="43" spans="2:14" ht="72.5">
      <c r="B43" s="139">
        <v>40</v>
      </c>
      <c r="C43" s="184" t="str">
        <f>VLOOKUP(Tableau9[[#This Row],[Colonne1]],Tableau124[#All],2,FALSE)</f>
        <v>Côte-d’Or (21)</v>
      </c>
      <c r="D43" s="104" t="str">
        <f>VLOOKUP(Tableau9[[#This Row],[Colonne1]],Tableau124[#All],3,FALSE)</f>
        <v>Saulieu</v>
      </c>
      <c r="E43" s="104">
        <f>VLOOKUP(Tableau9[[#This Row],[Colonne1]],Tableau124[#All],4,FALSE)</f>
        <v>21210</v>
      </c>
      <c r="F43" s="104" t="str">
        <f>VLOOKUP(Tableau9[[#This Row],[Colonne1]],Tableau124[#All],5,FALSE)</f>
        <v>Centre Hospitalier Haute Côte-d'Or - Site de Saulieu 2 Rue Claude Courtépée 21210 SAULIEU</v>
      </c>
      <c r="G43" s="104" t="str">
        <f>VLOOKUP(Tableau9[[#This Row],[Colonne1]],Tableau124[#All],6,FALSE)</f>
        <v>Consultations Hospitalières externes d'addictologie (autre lieu d'intervention)</v>
      </c>
      <c r="H43" s="104" t="str">
        <f>VLOOKUP(Tableau9[[#This Row],[Colonne1]],Tableau124[#All],7,FALSE)</f>
        <v>CENTRE HOSPITALIER - CHA (CENTRE HOSPITALIER ROBERT MORLEVAT  SEMUR EN AUXOIS)</v>
      </c>
      <c r="I43" s="104" t="str">
        <f>VLOOKUP(Tableau9[[#This Row],[Colonne1]],Tableau124[#All],8,FALSE)</f>
        <v>Public</v>
      </c>
      <c r="J43" s="264" t="str">
        <f>VLOOKUP(Tableau9[[#This Row],[Colonne1]],Tableau124[#All],9,FALSE)</f>
        <v>secretariat.psychiatrie@ch-semur.fr</v>
      </c>
      <c r="K43" s="200" t="str">
        <f>VLOOKUP(Tableau9[[#This Row],[Colonne1]],Tableau124[#All],10,FALSE)</f>
        <v>03.80.89.64.72</v>
      </c>
      <c r="L43" s="264" t="str">
        <f>VLOOKUP(Tableau9[[#This Row],[Colonne1]],Tableau124[#All],11,FALSE)</f>
        <v>www.ch-semur.fr</v>
      </c>
      <c r="M43" s="122" t="str">
        <f>VLOOKUP(Tableau9[[#This Row],[Colonne1]],Tableau124[#All],12,FALSE)</f>
        <v>SUR RDV</v>
      </c>
      <c r="N43" s="123" t="str">
        <f>VLOOKUP(Tableau9[[#This Row],[Colonne1]],Tableau124[#All],13,FALSE)</f>
        <v>Intervention auprès de public majeurs et mineurs</v>
      </c>
    </row>
    <row r="44" spans="2:14" ht="29">
      <c r="B44" s="139">
        <v>41</v>
      </c>
      <c r="C44" s="191" t="str">
        <f>VLOOKUP(Tableau9[[#This Row],[Colonne1]],Tableau124[#All],2,FALSE)</f>
        <v>Côte-d’Or (21)</v>
      </c>
      <c r="D44" s="186" t="str">
        <f>VLOOKUP(Tableau9[[#This Row],[Colonne1]],Tableau124[#All],3,FALSE)</f>
        <v>Selongey</v>
      </c>
      <c r="E44" s="186">
        <f>VLOOKUP(Tableau9[[#This Row],[Colonne1]],Tableau124[#All],4,FALSE)</f>
        <v>21260</v>
      </c>
      <c r="F44" s="135" t="str">
        <f>VLOOKUP(Tableau9[[#This Row],[Colonne1]],Tableau124[#All],5,FALSE)</f>
        <v>Rue du rang Pastourelle</v>
      </c>
      <c r="G44" s="135" t="str">
        <f>VLOOKUP(Tableau9[[#This Row],[Colonne1]],Tableau124[#All],6,FALSE)</f>
        <v>Antenne CSAPA</v>
      </c>
      <c r="H44" s="186" t="str">
        <f>VLOOKUP(Tableau9[[#This Row],[Colonne1]],Tableau124[#All],7,FALSE)</f>
        <v>CSAPA Tivoli, Caarud le Spot - SEDAP</v>
      </c>
      <c r="I44" s="135" t="str">
        <f>VLOOKUP(Tableau9[[#This Row],[Colonne1]],Tableau124[#All],8,FALSE)</f>
        <v>Associatif</v>
      </c>
      <c r="J44" s="268" t="str">
        <f>VLOOKUP(Tableau9[[#This Row],[Colonne1]],Tableau124[#All],9,FALSE)</f>
        <v>seine-tilles@addictions-sedap.fr</v>
      </c>
      <c r="K44" s="205">
        <f>VLOOKUP(Tableau9[[#This Row],[Colonne1]],Tableau124[#All],10,FALSE)</f>
        <v>811466280</v>
      </c>
      <c r="L44" s="274" t="str">
        <f>VLOOKUP(Tableau9[[#This Row],[Colonne1]],Tableau124[#All],11,FALSE)</f>
        <v xml:space="preserve"> </v>
      </c>
      <c r="M44" s="100" t="str">
        <f>VLOOKUP(Tableau9[[#This Row],[Colonne1]],Tableau124[#All],12,FALSE)</f>
        <v>lundi, mercredi 9h-12h/14h-18h et vendredi  9h-12h</v>
      </c>
      <c r="N44" s="216" t="str">
        <f>VLOOKUP(Tableau9[[#This Row],[Colonne1]],Tableau124[#All],13,FALSE)</f>
        <v xml:space="preserve">  </v>
      </c>
    </row>
    <row r="45" spans="2:14" ht="116">
      <c r="B45" s="139">
        <v>42</v>
      </c>
      <c r="C45" s="184" t="str">
        <f>VLOOKUP(Tableau9[[#This Row],[Colonne1]],Tableau124[#All],2,FALSE)</f>
        <v>Côte-d’Or (21)</v>
      </c>
      <c r="D45" s="524" t="str">
        <f>VLOOKUP(Tableau9[[#This Row],[Colonne1]],Tableau124[#All],3,FALSE)</f>
        <v>Semur-En-Auxois</v>
      </c>
      <c r="E45" s="524">
        <f>VLOOKUP(Tableau9[[#This Row],[Colonne1]],Tableau124[#All],4,FALSE)</f>
        <v>21140</v>
      </c>
      <c r="F45" s="184" t="str">
        <f>VLOOKUP(Tableau9[[#This Row],[Colonne1]],Tableau124[#All],5,FALSE)</f>
        <v>Centre Hospitalier 3 Avenue Pasteur 21 140 SEMUR EN AUXOIS</v>
      </c>
      <c r="G45" s="104" t="str">
        <f>VLOOKUP(Tableau9[[#This Row],[Colonne1]],Tableau124[#All],6,FALSE)</f>
        <v>Consultations Hospitalières externes d'addictologie (autre lieu d'intervention)</v>
      </c>
      <c r="H45" s="521" t="str">
        <f>VLOOKUP(Tableau9[[#This Row],[Colonne1]],Tableau124[#All],7,FALSE)</f>
        <v xml:space="preserve">Centre Hospitalier - CHA (Centre Hospitalier Robert Morlevat) </v>
      </c>
      <c r="I45" s="104" t="str">
        <f>VLOOKUP(Tableau9[[#This Row],[Colonne1]],Tableau124[#All],8,FALSE)</f>
        <v>Public</v>
      </c>
      <c r="J45" s="527" t="str">
        <f>VLOOKUP(Tableau9[[#This Row],[Colonne1]],Tableau124[#All],9,FALSE)</f>
        <v>secretariat.psychiatrie@ch-semur.fr</v>
      </c>
      <c r="K45" s="529" t="str">
        <f>VLOOKUP(Tableau9[[#This Row],[Colonne1]],Tableau124[#All],10,FALSE)</f>
        <v>03.80.89.64.72</v>
      </c>
      <c r="L45" s="369" t="str">
        <f>VLOOKUP(Tableau9[[#This Row],[Colonne1]],Tableau124[#All],11,FALSE)</f>
        <v>www.ch-semur.fr</v>
      </c>
      <c r="M45" s="528" t="str">
        <f>VLOOKUP(Tableau9[[#This Row],[Colonne1]],Tableau124[#All],12,FALSE)</f>
        <v xml:space="preserve"> Dr Thomas WALLENHORST _ psychiatre addictologue_ sur RDV le mardi matin
Dr Jacques CORNET_ médecin addictologue_ sur RDV le mardi après-midi et le jeudi après-midi
Infirmière addictologue_ sur RDV du lundi au vendredi (9h-17h)</v>
      </c>
      <c r="N45" s="123" t="str">
        <f>VLOOKUP(Tableau9[[#This Row],[Colonne1]],Tableau124[#All],13,FALSE)</f>
        <v>Intervention auprès de public majeurs et mineurs</v>
      </c>
    </row>
    <row r="46" spans="2:14" ht="43.5">
      <c r="B46" s="169">
        <v>43</v>
      </c>
      <c r="C46" s="119" t="str">
        <f>VLOOKUP(Tableau9[[#This Row],[Colonne1]],Tableau124[#All],2,FALSE)</f>
        <v>Côte-d’Or (21)</v>
      </c>
      <c r="D46" s="119" t="str">
        <f>VLOOKUP(Tableau9[[#This Row],[Colonne1]],Tableau124[#All],3,FALSE)</f>
        <v>Semur-En-Auxois</v>
      </c>
      <c r="E46" s="119" t="str">
        <f>VLOOKUP(Tableau9[[#This Row],[Colonne1]],Tableau124[#All],4,FALSE)</f>
        <v>21140</v>
      </c>
      <c r="F46" s="121" t="str">
        <f>VLOOKUP(Tableau9[[#This Row],[Colonne1]],Tableau124[#All],5,FALSE)</f>
        <v>Centre Hospitalier - 3 Avenue Pasteur 21 140 SEMUR EN AUXOIS</v>
      </c>
      <c r="G46" s="121" t="str">
        <f>VLOOKUP(Tableau9[[#This Row],[Colonne1]],Tableau124[#All],6,FALSE)</f>
        <v>ELSA</v>
      </c>
      <c r="H46" s="119" t="str">
        <f>VLOOKUP(Tableau9[[#This Row],[Colonne1]],Tableau124[#All],7,FALSE)</f>
        <v>Centre Hospitalier Robert Morlevat</v>
      </c>
      <c r="I46" s="119" t="str">
        <f>VLOOKUP(Tableau9[[#This Row],[Colonne1]],Tableau124[#All],8,FALSE)</f>
        <v>Public</v>
      </c>
      <c r="J46" s="277" t="str">
        <f>VLOOKUP(Tableau9[[#This Row],[Colonne1]],Tableau124[#All],9,FALSE)</f>
        <v>secretariat.psychiatrie@ch-semur.fr</v>
      </c>
      <c r="K46" s="310" t="str">
        <f>VLOOKUP(Tableau9[[#This Row],[Colonne1]],Tableau124[#All],10,FALSE)</f>
        <v>03.80.89.64.72</v>
      </c>
      <c r="L46" s="277" t="str">
        <f>VLOOKUP(Tableau9[[#This Row],[Colonne1]],Tableau124[#All],11,FALSE)</f>
        <v>www.ch-semur.fr</v>
      </c>
      <c r="M46" s="216" t="str">
        <f>VLOOKUP(Tableau9[[#This Row],[Colonne1]],Tableau124[#All],12,FALSE)</f>
        <v xml:space="preserve">  </v>
      </c>
      <c r="N46" s="249" t="str">
        <f>VLOOKUP(Tableau9[[#This Row],[Colonne1]],Tableau124[#All],13,FALSE)</f>
        <v>- intervention auprès de public majeur ; 
- du lundi au vendredi, sur demande, CH de Semur en Auxois</v>
      </c>
    </row>
    <row r="47" spans="2:14" ht="43.5">
      <c r="B47" s="169">
        <v>44</v>
      </c>
      <c r="C47" s="93" t="str">
        <f>VLOOKUP(Tableau9[[#This Row],[Colonne1]],Tableau124[#All],2,FALSE)</f>
        <v>Côte-d’Or (21)</v>
      </c>
      <c r="D47" s="93" t="str">
        <f>VLOOKUP(Tableau9[[#This Row],[Colonne1]],Tableau124[#All],3,FALSE)</f>
        <v>Semur-En-Auxois</v>
      </c>
      <c r="E47" s="93" t="str">
        <f>VLOOKUP(Tableau9[[#This Row],[Colonne1]],Tableau124[#All],4,FALSE)</f>
        <v>21140</v>
      </c>
      <c r="F47" s="93" t="str">
        <f>VLOOKUP(Tableau9[[#This Row],[Colonne1]],Tableau124[#All],5,FALSE)</f>
        <v>Centre Hospitalier 3 Avenue Pasteur 21 140 SEMUR EN AUXOIS</v>
      </c>
      <c r="G47" s="93" t="str">
        <f>VLOOKUP(Tableau9[[#This Row],[Colonne1]],Tableau124[#All],6,FALSE)</f>
        <v>Unité d'Hospitalisation complète: Soins simples et Soins complexes</v>
      </c>
      <c r="H47" s="93" t="str">
        <f>VLOOKUP(Tableau9[[#This Row],[Colonne1]],Tableau124[#All],7,FALSE)</f>
        <v>Centre Hospitalier Robert Morlevat</v>
      </c>
      <c r="I47" s="93" t="str">
        <f>VLOOKUP(Tableau9[[#This Row],[Colonne1]],Tableau124[#All],8,FALSE)</f>
        <v>Public</v>
      </c>
      <c r="J47" s="279" t="str">
        <f>VLOOKUP(Tableau9[[#This Row],[Colonne1]],Tableau124[#All],9,FALSE)</f>
        <v>secretariat.psychiatrie@ch-semur.fr</v>
      </c>
      <c r="K47" s="309" t="str">
        <f>VLOOKUP(Tableau9[[#This Row],[Colonne1]],Tableau124[#All],10,FALSE)</f>
        <v>03.80.89.64.72</v>
      </c>
      <c r="L47" s="279" t="str">
        <f>VLOOKUP(Tableau9[[#This Row],[Colonne1]],Tableau124[#All],11,FALSE)</f>
        <v>www.ch-semur.fr</v>
      </c>
      <c r="M47" s="318" t="str">
        <f>VLOOKUP(Tableau9[[#This Row],[Colonne1]],Tableau124[#All],12,FALSE)</f>
        <v xml:space="preserve">  </v>
      </c>
      <c r="N47" s="247" t="str">
        <f>VLOOKUP(Tableau9[[#This Row],[Colonne1]],Tableau124[#All],13,FALSE)</f>
        <v>- interventions auprès d'un public majeur ; 
- 5 lits</v>
      </c>
    </row>
  </sheetData>
  <mergeCells count="1">
    <mergeCell ref="C3:O3"/>
  </mergeCell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1">
    <tabColor rgb="FFC39BE1"/>
  </sheetPr>
  <dimension ref="A1:O40"/>
  <sheetViews>
    <sheetView zoomScale="39" zoomScaleNormal="40" workbookViewId="0">
      <selection activeCell="A16" sqref="A16:XFD16"/>
    </sheetView>
  </sheetViews>
  <sheetFormatPr baseColWidth="10" defaultColWidth="10.54296875" defaultRowHeight="14.5"/>
  <cols>
    <col min="1" max="1" width="16.54296875" style="48" customWidth="1"/>
    <col min="2" max="2" width="10.453125" style="141" customWidth="1"/>
    <col min="3" max="3" width="16.453125" style="1" customWidth="1"/>
    <col min="4" max="4" width="36.26953125" style="1" customWidth="1"/>
    <col min="5" max="5" width="24.1796875" style="1" customWidth="1"/>
    <col min="6" max="6" width="28.1796875" style="1" customWidth="1"/>
    <col min="7" max="7" width="29.453125" style="1" customWidth="1"/>
    <col min="8" max="8" width="19.1796875" style="1" customWidth="1"/>
    <col min="9" max="9" width="33.1796875" style="1" customWidth="1"/>
    <col min="10" max="10" width="20.453125" style="1" customWidth="1"/>
    <col min="11" max="11" width="39.453125" style="1" customWidth="1"/>
    <col min="12" max="12" width="23.453125" style="1" customWidth="1"/>
    <col min="13" max="13" width="25.1796875" style="1" customWidth="1"/>
    <col min="14" max="14" width="28.453125" style="1" customWidth="1"/>
    <col min="15" max="15" width="42.453125" style="1" hidden="1" customWidth="1"/>
    <col min="16" max="16384" width="10.54296875" style="1"/>
  </cols>
  <sheetData>
    <row r="1" spans="1:15" ht="57.65" customHeight="1">
      <c r="B1" s="140"/>
      <c r="C1" s="48"/>
      <c r="D1" s="48"/>
      <c r="E1" s="48"/>
      <c r="F1" s="48"/>
      <c r="G1" s="48"/>
      <c r="H1" s="48"/>
      <c r="I1" s="48"/>
      <c r="J1" s="48"/>
      <c r="K1" s="48"/>
      <c r="L1" s="48"/>
      <c r="M1" s="48"/>
      <c r="N1" s="48"/>
    </row>
    <row r="3" spans="1:15" ht="18.5">
      <c r="C3" s="618" t="s">
        <v>1014</v>
      </c>
      <c r="D3" s="618"/>
      <c r="E3" s="618"/>
      <c r="F3" s="618"/>
      <c r="G3" s="618"/>
      <c r="H3" s="618"/>
      <c r="I3" s="618"/>
      <c r="J3" s="618"/>
      <c r="K3" s="618"/>
      <c r="L3" s="618"/>
      <c r="M3" s="618"/>
      <c r="N3" s="618"/>
      <c r="O3" s="618"/>
    </row>
    <row r="5" spans="1:15" ht="41.15" customHeight="1">
      <c r="A5" s="49"/>
      <c r="B5" s="23" t="s">
        <v>1013</v>
      </c>
      <c r="C5" s="22" t="s">
        <v>18</v>
      </c>
      <c r="D5" s="23" t="s">
        <v>19</v>
      </c>
      <c r="E5" s="23" t="s">
        <v>20</v>
      </c>
      <c r="F5" s="23" t="s">
        <v>21</v>
      </c>
      <c r="G5" s="23" t="s">
        <v>22</v>
      </c>
      <c r="H5" s="23" t="s">
        <v>23</v>
      </c>
      <c r="I5" s="23" t="s">
        <v>24</v>
      </c>
      <c r="J5" s="23" t="s">
        <v>25</v>
      </c>
      <c r="K5" s="23" t="s">
        <v>26</v>
      </c>
      <c r="L5" s="23" t="s">
        <v>27</v>
      </c>
      <c r="M5" s="23" t="s">
        <v>28</v>
      </c>
      <c r="N5" s="24" t="s">
        <v>29</v>
      </c>
    </row>
    <row r="6" spans="1:15" ht="86.5" customHeight="1">
      <c r="B6" s="139">
        <v>116</v>
      </c>
      <c r="C6" s="135" t="str">
        <f>VLOOKUP(Tableau12[[#This Row],[Colonne1]],Tableau124[#All],2,FALSE)</f>
        <v>Jura (39)</v>
      </c>
      <c r="D6" s="135" t="str">
        <f>VLOOKUP(Tableau12[[#This Row],[Colonne1]],Tableau124[#All],3,FALSE)</f>
        <v>Arbois</v>
      </c>
      <c r="E6" s="135">
        <f>VLOOKUP(Tableau12[[#This Row],[Colonne1]],Tableau124[#All],4,FALSE)</f>
        <v>39600</v>
      </c>
      <c r="F6" s="135" t="str">
        <f>VLOOKUP(Tableau12[[#This Row],[Colonne1]],Tableau124[#All],5,FALSE)</f>
        <v>17 rue de l'Hôtel de ville, 39600 Arbois</v>
      </c>
      <c r="G6" s="135" t="str">
        <f>VLOOKUP(Tableau12[[#This Row],[Colonne1]],Tableau124[#All],6,FALSE)</f>
        <v>Antenne CSAPA</v>
      </c>
      <c r="H6" s="135" t="str">
        <f>VLOOKUP(Tableau12[[#This Row],[Colonne1]],Tableau124[#All],7,FALSE)</f>
        <v>CSAPA de l'ADLCA</v>
      </c>
      <c r="I6" s="135" t="str">
        <f>VLOOKUP(Tableau12[[#This Row],[Colonne1]],Tableau124[#All],8,FALSE)</f>
        <v>Associatif</v>
      </c>
      <c r="J6" s="97" t="str">
        <f>VLOOKUP(Tableau12[[#This Row],[Colonne1]],Tableau124[#All],9,FALSE)</f>
        <v>arbois@adlca.fr</v>
      </c>
      <c r="K6" s="98" t="str">
        <f>VLOOKUP(Tableau12[[#This Row],[Colonne1]],Tableau124[#All],10,FALSE)</f>
        <v>0384252612</v>
      </c>
      <c r="L6" s="274" t="str">
        <f>VLOOKUP(Tableau12[[#This Row],[Colonne1]],Tableau124[#All],11,FALSE)</f>
        <v>https://csapa-adlca.fr</v>
      </c>
      <c r="M6" s="99" t="str">
        <f>VLOOKUP(Tableau12[[#This Row],[Colonne1]],Tableau124[#All],12,FALSE)</f>
        <v>lundi au vendredi, 9h-17h30</v>
      </c>
      <c r="N6" s="127" t="str">
        <f>VLOOKUP(Tableau12[[#This Row],[Colonne1]],Tableau124[#All],13,FALSE)</f>
        <v xml:space="preserve">  </v>
      </c>
    </row>
    <row r="7" spans="1:15" ht="86.5" customHeight="1">
      <c r="B7" s="139">
        <v>117</v>
      </c>
      <c r="C7" s="93" t="str">
        <f>VLOOKUP(Tableau12[[#This Row],[Colonne1]],Tableau124[#All],2,FALSE)</f>
        <v>Jura (39)</v>
      </c>
      <c r="D7" s="93" t="str">
        <f>VLOOKUP(Tableau12[[#This Row],[Colonne1]],Tableau124[#All],3,FALSE)</f>
        <v>Bletterans</v>
      </c>
      <c r="E7" s="93" t="str">
        <f>VLOOKUP(Tableau12[[#This Row],[Colonne1]],Tableau124[#All],4,FALSE)</f>
        <v>39140</v>
      </c>
      <c r="F7" s="93" t="str">
        <f>VLOOKUP(Tableau12[[#This Row],[Colonne1]],Tableau124[#All],5,FALSE)</f>
        <v>7 rue de la Demi Lune</v>
      </c>
      <c r="G7" s="93" t="str">
        <f>VLOOKUP(Tableau12[[#This Row],[Colonne1]],Tableau124[#All],6,FALSE)</f>
        <v>Sevrage simple</v>
      </c>
      <c r="H7" s="93" t="str">
        <f>VLOOKUP(Tableau12[[#This Row],[Colonne1]],Tableau124[#All],7,FALSE)</f>
        <v>ADLCA</v>
      </c>
      <c r="I7" s="93" t="str">
        <f>VLOOKUP(Tableau12[[#This Row],[Colonne1]],Tableau124[#All],8,FALSE)</f>
        <v>Associatif</v>
      </c>
      <c r="J7" s="133" t="str">
        <f>VLOOKUP(Tableau12[[#This Row],[Colonne1]],Tableau124[#All],9,FALSE)</f>
        <v>contact@adlca.fr</v>
      </c>
      <c r="K7" s="145" t="str">
        <f>VLOOKUP(Tableau12[[#This Row],[Colonne1]],Tableau124[#All],10,FALSE)</f>
        <v>03 84 48 17 21</v>
      </c>
      <c r="L7" s="280" t="str">
        <f>VLOOKUP(Tableau12[[#This Row],[Colonne1]],Tableau124[#All],11,FALSE)</f>
        <v>www.adlca.fr</v>
      </c>
      <c r="M7" s="215" t="str">
        <f>VLOOKUP(Tableau12[[#This Row],[Colonne1]],Tableau124[#All],12,FALSE)</f>
        <v xml:space="preserve">  </v>
      </c>
      <c r="N7" s="94" t="str">
        <f>VLOOKUP(Tableau12[[#This Row],[Colonne1]],Tableau124[#All],13,FALSE)</f>
        <v>- interventions auprès d'un public majeur ; 
- lits installés au sein d'une même unité ; 
- unité MCO.</v>
      </c>
    </row>
    <row r="8" spans="1:15" ht="86.5" customHeight="1">
      <c r="B8" s="139">
        <v>118</v>
      </c>
      <c r="C8" s="120" t="str">
        <f>VLOOKUP(Tableau12[[#This Row],[Colonne1]],Tableau124[#All],2,FALSE)</f>
        <v>Jura (39)</v>
      </c>
      <c r="D8" s="120" t="str">
        <f>VLOOKUP(Tableau12[[#This Row],[Colonne1]],Tableau124[#All],3,FALSE)</f>
        <v>Bletterans</v>
      </c>
      <c r="E8" s="120" t="str">
        <f>VLOOKUP(Tableau12[[#This Row],[Colonne1]],Tableau124[#All],4,FALSE)</f>
        <v>39140</v>
      </c>
      <c r="F8" s="120" t="str">
        <f>VLOOKUP(Tableau12[[#This Row],[Colonne1]],Tableau124[#All],5,FALSE)</f>
        <v>7 rue de la Demi Lune</v>
      </c>
      <c r="G8" s="95" t="str">
        <f>VLOOKUP(Tableau12[[#This Row],[Colonne1]],Tableau124[#All],6,FALSE)</f>
        <v>SMRA</v>
      </c>
      <c r="H8" s="120" t="str">
        <f>VLOOKUP(Tableau12[[#This Row],[Colonne1]],Tableau124[#All],7,FALSE)</f>
        <v>ADLCA</v>
      </c>
      <c r="I8" s="120" t="str">
        <f>VLOOKUP(Tableau12[[#This Row],[Colonne1]],Tableau124[#All],8,FALSE)</f>
        <v>Associatif</v>
      </c>
      <c r="J8" s="419" t="str">
        <f>VLOOKUP(Tableau12[[#This Row],[Colonne1]],Tableau124[#All],9,FALSE)</f>
        <v>contact@adlca.fr</v>
      </c>
      <c r="K8" s="426" t="str">
        <f>VLOOKUP(Tableau12[[#This Row],[Colonne1]],Tableau124[#All],10,FALSE)</f>
        <v>03 84 48 17 21</v>
      </c>
      <c r="L8" s="285" t="str">
        <f>VLOOKUP(Tableau12[[#This Row],[Colonne1]],Tableau124[#All],11,FALSE)</f>
        <v>www.adlca.fr</v>
      </c>
      <c r="M8" s="215" t="str">
        <f>VLOOKUP(Tableau12[[#This Row],[Colonne1]],Tableau124[#All],12,FALSE)</f>
        <v xml:space="preserve">  </v>
      </c>
      <c r="N8" s="429" t="str">
        <f>VLOOKUP(Tableau12[[#This Row],[Colonne1]],Tableau124[#All],13,FALSE)</f>
        <v xml:space="preserve">- intervention auprès d'un public majeur ; </v>
      </c>
    </row>
    <row r="9" spans="1:15" ht="86.5" customHeight="1">
      <c r="B9" s="139">
        <v>119</v>
      </c>
      <c r="C9" s="135" t="str">
        <f>VLOOKUP(Tableau12[[#This Row],[Colonne1]],Tableau124[#All],2,FALSE)</f>
        <v>Jura (39)</v>
      </c>
      <c r="D9" s="135" t="str">
        <f>VLOOKUP(Tableau12[[#This Row],[Colonne1]],Tableau124[#All],3,FALSE)</f>
        <v>Champagnole</v>
      </c>
      <c r="E9" s="135">
        <f>VLOOKUP(Tableau12[[#This Row],[Colonne1]],Tableau124[#All],4,FALSE)</f>
        <v>39300</v>
      </c>
      <c r="F9" s="135" t="str">
        <f>VLOOKUP(Tableau12[[#This Row],[Colonne1]],Tableau124[#All],5,FALSE)</f>
        <v>89 rue Casimir Blondeau, 39300 Champagnole</v>
      </c>
      <c r="G9" s="135" t="str">
        <f>VLOOKUP(Tableau12[[#This Row],[Colonne1]],Tableau124[#All],6,FALSE)</f>
        <v>Antenne CSAPA</v>
      </c>
      <c r="H9" s="135" t="str">
        <f>VLOOKUP(Tableau12[[#This Row],[Colonne1]],Tableau124[#All],7,FALSE)</f>
        <v>CSAPA de l'ADLCA</v>
      </c>
      <c r="I9" s="135" t="str">
        <f>VLOOKUP(Tableau12[[#This Row],[Colonne1]],Tableau124[#All],8,FALSE)</f>
        <v>Associatif</v>
      </c>
      <c r="J9" s="97" t="str">
        <f>VLOOKUP(Tableau12[[#This Row],[Colonne1]],Tableau124[#All],9,FALSE)</f>
        <v>champagnole@adlca.fr</v>
      </c>
      <c r="K9" s="98" t="str">
        <f>VLOOKUP(Tableau12[[#This Row],[Colonne1]],Tableau124[#All],10,FALSE)</f>
        <v>0970501350</v>
      </c>
      <c r="L9" s="274" t="str">
        <f>VLOOKUP(Tableau12[[#This Row],[Colonne1]],Tableau124[#All],11,FALSE)</f>
        <v xml:space="preserve"> https://csapa-adlca.fr</v>
      </c>
      <c r="M9" s="100" t="str">
        <f>VLOOKUP(Tableau12[[#This Row],[Colonne1]],Tableau124[#All],12,FALSE)</f>
        <v>lundi au vendredi, 9h-17h30</v>
      </c>
      <c r="N9" s="127" t="str">
        <f>VLOOKUP(Tableau12[[#This Row],[Colonne1]],Tableau124[#All],13,FALSE)</f>
        <v xml:space="preserve">  </v>
      </c>
    </row>
    <row r="10" spans="1:15" ht="86.5" customHeight="1">
      <c r="B10" s="139">
        <v>120</v>
      </c>
      <c r="C10" s="135" t="str">
        <f>VLOOKUP(Tableau12[[#This Row],[Colonne1]],Tableau124[#All],2,FALSE)</f>
        <v>Jura (39)</v>
      </c>
      <c r="D10" s="135" t="str">
        <f>VLOOKUP(Tableau12[[#This Row],[Colonne1]],Tableau124[#All],3,FALSE)</f>
        <v>Cousance</v>
      </c>
      <c r="E10" s="135">
        <f>VLOOKUP(Tableau12[[#This Row],[Colonne1]],Tableau124[#All],4,FALSE)</f>
        <v>39190</v>
      </c>
      <c r="F10" s="135" t="str">
        <f>VLOOKUP(Tableau12[[#This Row],[Colonne1]],Tableau124[#All],5,FALSE)</f>
        <v>60 grande rue</v>
      </c>
      <c r="G10" s="135" t="str">
        <f>VLOOKUP(Tableau12[[#This Row],[Colonne1]],Tableau124[#All],6,FALSE)</f>
        <v>CSAPA (consultations avancées)</v>
      </c>
      <c r="H10" s="135" t="str">
        <f>VLOOKUP(Tableau12[[#This Row],[Colonne1]],Tableau124[#All],7,FALSE)</f>
        <v>CSAPA de l'ADLCA - consultations avancées</v>
      </c>
      <c r="I10" s="135" t="str">
        <f>VLOOKUP(Tableau12[[#This Row],[Colonne1]],Tableau124[#All],8,FALSE)</f>
        <v>Associatif</v>
      </c>
      <c r="J10" s="97" t="str">
        <f>VLOOKUP(Tableau12[[#This Row],[Colonne1]],Tableau124[#All],9,FALSE)</f>
        <v>lons@adlca.fr</v>
      </c>
      <c r="K10" s="98">
        <f>VLOOKUP(Tableau12[[#This Row],[Colonne1]],Tableau124[#All],10,FALSE)</f>
        <v>783898529</v>
      </c>
      <c r="L10" s="268" t="str">
        <f>VLOOKUP(Tableau12[[#This Row],[Colonne1]],Tableau124[#All],11,FALSE)</f>
        <v>https://csapa-adlca.fr/</v>
      </c>
      <c r="M10" s="100" t="str">
        <f>VLOOKUP(Tableau12[[#This Row],[Colonne1]],Tableau124[#All],12,FALSE)</f>
        <v>mardi et vendredi matin de 9h à 12h30</v>
      </c>
      <c r="N10" s="87" t="str">
        <f>VLOOKUP(Tableau12[[#This Row],[Colonne1]],Tableau124[#All],13,FALSE)</f>
        <v>Réalisation de consultations avancées</v>
      </c>
    </row>
    <row r="11" spans="1:15" ht="86.5" customHeight="1">
      <c r="B11" s="139">
        <v>122</v>
      </c>
      <c r="C11" s="104" t="str">
        <f>VLOOKUP(Tableau12[[#This Row],[Colonne1]],Tableau124[#All],2,FALSE)</f>
        <v>Jura (39)</v>
      </c>
      <c r="D11" s="104" t="str">
        <f>VLOOKUP(Tableau12[[#This Row],[Colonne1]],Tableau124[#All],3,FALSE)</f>
        <v>Dole</v>
      </c>
      <c r="E11" s="104" t="str">
        <f>VLOOKUP(Tableau12[[#This Row],[Colonne1]],Tableau124[#All],4,FALSE)</f>
        <v>39100</v>
      </c>
      <c r="F11" s="104" t="str">
        <f>VLOOKUP(Tableau12[[#This Row],[Colonne1]],Tableau124[#All],5,FALSE)</f>
        <v>CONSULTATION DE TABACOLOGIE, 73 Av. Léon Jouhaux
UTEP
CENTRE LOUIS PASTEUR</v>
      </c>
      <c r="G11" s="104" t="str">
        <f>VLOOKUP(Tableau12[[#This Row],[Colonne1]],Tableau124[#All],6,FALSE)</f>
        <v>Consultations Hospitalières externes d'addictologie</v>
      </c>
      <c r="H11" s="104" t="str">
        <f>VLOOKUP(Tableau12[[#This Row],[Colonne1]],Tableau124[#All],7,FALSE)</f>
        <v>CENTRE HOSPITALIER LOUIS PASTEUR</v>
      </c>
      <c r="I11" s="104" t="str">
        <f>VLOOKUP(Tableau12[[#This Row],[Colonne1]],Tableau124[#All],8,FALSE)</f>
        <v>Public</v>
      </c>
      <c r="J11" s="130" t="str">
        <f>VLOOKUP(Tableau12[[#This Row],[Colonne1]],Tableau124[#All],9,FALSE)</f>
        <v xml:space="preserve">UTEP.Secretariat@ch-dole.fr / UTEP.Infirmiere@ch-dole.fr </v>
      </c>
      <c r="K11" s="131" t="str">
        <f>VLOOKUP(Tableau12[[#This Row],[Colonne1]],Tableau124[#All],10,FALSE)</f>
        <v>03 84 79 68 55</v>
      </c>
      <c r="L11" s="265" t="str">
        <f>VLOOKUP(Tableau12[[#This Row],[Colonne1]],Tableau124[#All],11,FALSE)</f>
        <v>https://www.ch-dole.fr</v>
      </c>
      <c r="M11" s="206" t="str">
        <f>VLOOKUP(Tableau12[[#This Row],[Colonne1]],Tableau124[#All],12,FALSE)</f>
        <v>Lundi au vendredi : 9h à 17h possible sur le CSAPA</v>
      </c>
      <c r="N11" s="537" t="str">
        <f>VLOOKUP(Tableau12[[#This Row],[Colonne1]],Tableau124[#All],13,FALSE)</f>
        <v xml:space="preserve">Intervention auprès de public majeurs </v>
      </c>
    </row>
    <row r="12" spans="1:15" ht="47.9" customHeight="1">
      <c r="B12" s="139">
        <v>125</v>
      </c>
      <c r="C12" s="93" t="str">
        <f>VLOOKUP(Tableau12[[#This Row],[Colonne1]],Tableau124[#All],2,FALSE)</f>
        <v>Jura (39)</v>
      </c>
      <c r="D12" s="93" t="str">
        <f>VLOOKUP(Tableau12[[#This Row],[Colonne1]],Tableau124[#All],3,FALSE)</f>
        <v>Dole</v>
      </c>
      <c r="E12" s="193" t="str">
        <f>VLOOKUP(Tableau12[[#This Row],[Colonne1]],Tableau124[#All],4,FALSE)</f>
        <v>39100</v>
      </c>
      <c r="F12" s="93" t="str">
        <f>VLOOKUP(Tableau12[[#This Row],[Colonne1]],Tableau124[#All],5,FALSE)</f>
        <v>SERVICE DE NEUROLOGIE
3ème ETAGE
CH LOUIS PASTEUR</v>
      </c>
      <c r="G12" s="93" t="str">
        <f>VLOOKUP(Tableau12[[#This Row],[Colonne1]],Tableau124[#All],6,FALSE)</f>
        <v>Sevrage simple</v>
      </c>
      <c r="H12" s="93" t="str">
        <f>VLOOKUP(Tableau12[[#This Row],[Colonne1]],Tableau124[#All],7,FALSE)</f>
        <v>Centre hospitalier Louis Pasteur</v>
      </c>
      <c r="I12" s="93" t="str">
        <f>VLOOKUP(Tableau12[[#This Row],[Colonne1]],Tableau124[#All],8,FALSE)</f>
        <v>Public</v>
      </c>
      <c r="J12" s="133" t="str">
        <f>VLOOKUP(Tableau12[[#This Row],[Colonne1]],Tableau124[#All],9,FALSE)</f>
        <v>communication@ch-dole.fr</v>
      </c>
      <c r="K12" s="145" t="str">
        <f>VLOOKUP(Tableau12[[#This Row],[Colonne1]],Tableau124[#All],10,FALSE)</f>
        <v>03 84 79 80 65</v>
      </c>
      <c r="L12" s="280" t="str">
        <f>VLOOKUP(Tableau12[[#This Row],[Colonne1]],Tableau124[#All],11,FALSE)</f>
        <v>https://www.ch-dole.fr</v>
      </c>
      <c r="M12" s="215" t="str">
        <f>VLOOKUP(Tableau12[[#This Row],[Colonne1]],Tableau124[#All],12,FALSE)</f>
        <v xml:space="preserve">  </v>
      </c>
      <c r="N12" s="94" t="str">
        <f>VLOOKUP(Tableau12[[#This Row],[Colonne1]],Tableau124[#All],13,FALSE)</f>
        <v>- intervention auprès d'un public majeur ; 
- unité neurologique</v>
      </c>
    </row>
    <row r="13" spans="1:15" ht="86.5" customHeight="1">
      <c r="B13" s="139">
        <v>124</v>
      </c>
      <c r="C13" s="119" t="str">
        <f>VLOOKUP(Tableau12[[#This Row],[Colonne1]],Tableau124[#All],2,FALSE)</f>
        <v>Jura (39)</v>
      </c>
      <c r="D13" s="119" t="str">
        <f>VLOOKUP(Tableau12[[#This Row],[Colonne1]],Tableau124[#All],3,FALSE)</f>
        <v>Dole</v>
      </c>
      <c r="E13" s="119" t="str">
        <f>VLOOKUP(Tableau12[[#This Row],[Colonne1]],Tableau124[#All],4,FALSE)</f>
        <v>39100</v>
      </c>
      <c r="F13" s="121" t="str">
        <f>VLOOKUP(Tableau12[[#This Row],[Colonne1]],Tableau124[#All],5,FALSE)</f>
        <v>CHS Saint-Ylie Jura, 120 route nationale, Dans plusieurs services</v>
      </c>
      <c r="G13" s="121" t="str">
        <f>VLOOKUP(Tableau12[[#This Row],[Colonne1]],Tableau124[#All],6,FALSE)</f>
        <v>ELSA</v>
      </c>
      <c r="H13" s="119" t="str">
        <f>VLOOKUP(Tableau12[[#This Row],[Colonne1]],Tableau124[#All],7,FALSE)</f>
        <v>CHS Saint-Ylie Jura</v>
      </c>
      <c r="I13" s="119" t="str">
        <f>VLOOKUP(Tableau12[[#This Row],[Colonne1]],Tableau124[#All],8,FALSE)</f>
        <v>Public</v>
      </c>
      <c r="J13" s="65" t="str">
        <f>VLOOKUP(Tableau12[[#This Row],[Colonne1]],Tableau124[#All],9,FALSE)</f>
        <v>addicto@chsjura.fr</v>
      </c>
      <c r="K13" s="144" t="str">
        <f>VLOOKUP(Tableau12[[#This Row],[Colonne1]],Tableau124[#All],10,FALSE)</f>
        <v>06 43 31 18 99</v>
      </c>
      <c r="L13" s="274" t="str">
        <f>VLOOKUP(Tableau12[[#This Row],[Colonne1]],Tableau124[#All],11,FALSE)</f>
        <v xml:space="preserve"> </v>
      </c>
      <c r="M13" s="215" t="str">
        <f>VLOOKUP(Tableau12[[#This Row],[Colonne1]],Tableau124[#All],12,FALSE)</f>
        <v xml:space="preserve">  </v>
      </c>
      <c r="N13" s="64" t="str">
        <f>VLOOKUP(Tableau12[[#This Row],[Colonne1]],Tableau124[#All],13,FALSE)</f>
        <v>- intervention auprès de public majeur ; 
- intervention dans les services du CHS, services du CH Louis Pasteur de Dole Jura</v>
      </c>
    </row>
    <row r="14" spans="1:15" ht="86.5" customHeight="1">
      <c r="B14" s="139">
        <v>127</v>
      </c>
      <c r="C14" s="93" t="str">
        <f>VLOOKUP(Tableau12[[#This Row],[Colonne1]],Tableau124[#All],2,FALSE)</f>
        <v>Jura (39)</v>
      </c>
      <c r="D14" s="93" t="str">
        <f>VLOOKUP(Tableau12[[#This Row],[Colonne1]],Tableau124[#All],3,FALSE)</f>
        <v>Dole</v>
      </c>
      <c r="E14" s="93" t="str">
        <f>VLOOKUP(Tableau12[[#This Row],[Colonne1]],Tableau124[#All],4,FALSE)</f>
        <v>39100</v>
      </c>
      <c r="F14" s="93" t="str">
        <f>VLOOKUP(Tableau12[[#This Row],[Colonne1]],Tableau124[#All],5,FALSE)</f>
        <v>CHS Saint-Ylie Jura
URA "Les Hirondelles"
120 route Nationale</v>
      </c>
      <c r="G14" s="93" t="str">
        <f>VLOOKUP(Tableau12[[#This Row],[Colonne1]],Tableau124[#All],6,FALSE)</f>
        <v xml:space="preserve">Sevrage simple </v>
      </c>
      <c r="H14" s="93" t="str">
        <f>VLOOKUP(Tableau12[[#This Row],[Colonne1]],Tableau124[#All],7,FALSE)</f>
        <v>CHS Saint-Ylie Jura</v>
      </c>
      <c r="I14" s="93" t="str">
        <f>VLOOKUP(Tableau12[[#This Row],[Colonne1]],Tableau124[#All],8,FALSE)</f>
        <v>Public</v>
      </c>
      <c r="J14" s="302" t="str">
        <f>VLOOKUP(Tableau12[[#This Row],[Colonne1]],Tableau124[#All],9,FALSE)</f>
        <v>ura.addictologie@chsjura.fr</v>
      </c>
      <c r="K14" s="145" t="str">
        <f>VLOOKUP(Tableau12[[#This Row],[Colonne1]],Tableau124[#All],10,FALSE)</f>
        <v>03 84 82 81 44</v>
      </c>
      <c r="L14" s="216"/>
      <c r="M14" s="215" t="str">
        <f>VLOOKUP(Tableau12[[#This Row],[Colonne1]],Tableau124[#All],12,FALSE)</f>
        <v xml:space="preserve">   </v>
      </c>
      <c r="N14" s="94" t="str">
        <f>VLOOKUP(Tableau12[[#This Row],[Colonne1]],Tableau124[#All],13,FALSE)</f>
        <v xml:space="preserve">- intervention auprès de public majeur ; 
- accueille également des patients pour des sevrages simples </v>
      </c>
    </row>
    <row r="15" spans="1:15" ht="86.5" customHeight="1">
      <c r="B15" s="139">
        <v>126</v>
      </c>
      <c r="C15" s="118" t="str">
        <f>VLOOKUP(Tableau12[[#This Row],[Colonne1]],Tableau124[#All],2,FALSE)</f>
        <v>Jura (39)</v>
      </c>
      <c r="D15" s="118" t="str">
        <f>VLOOKUP(Tableau12[[#This Row],[Colonne1]],Tableau124[#All],3,FALSE)</f>
        <v>Dole</v>
      </c>
      <c r="E15" s="118" t="str">
        <f>VLOOKUP(Tableau12[[#This Row],[Colonne1]],Tableau124[#All],4,FALSE)</f>
        <v>39100</v>
      </c>
      <c r="F15" s="118" t="str">
        <f>VLOOKUP(Tableau12[[#This Row],[Colonne1]],Tableau124[#All],5,FALSE)</f>
        <v>CHS Saint-Ylie Jura
URA "Les Hirondelles"
120 Route Nationale</v>
      </c>
      <c r="G15" s="118" t="str">
        <f>VLOOKUP(Tableau12[[#This Row],[Colonne1]],Tableau124[#All],6,FALSE)</f>
        <v>Soins complexes</v>
      </c>
      <c r="H15" s="118" t="str">
        <f>VLOOKUP(Tableau12[[#This Row],[Colonne1]],Tableau124[#All],7,FALSE)</f>
        <v>CHS Saint-Ylie Jura</v>
      </c>
      <c r="I15" s="118" t="str">
        <f>VLOOKUP(Tableau12[[#This Row],[Colonne1]],Tableau124[#All],8,FALSE)</f>
        <v>Public</v>
      </c>
      <c r="J15" s="288" t="str">
        <f>VLOOKUP(Tableau12[[#This Row],[Colonne1]],Tableau124[#All],9,FALSE)</f>
        <v>ura.addictologie@chsjura.fr</v>
      </c>
      <c r="K15" s="428" t="str">
        <f>VLOOKUP(Tableau12[[#This Row],[Colonne1]],Tableau124[#All],10,FALSE)</f>
        <v>03 84 82 81 44</v>
      </c>
      <c r="L15" s="290" t="str">
        <f>VLOOKUP(Tableau12[[#This Row],[Colonne1]],Tableau124[#All],11,FALSE)</f>
        <v>www.chsjura.fr</v>
      </c>
      <c r="M15" s="215"/>
      <c r="N15" s="535" t="str">
        <f>VLOOKUP(Tableau12[[#This Row],[Colonne1]],Tableau124[#All],13,FALSE)</f>
        <v>- interventions auprès d'un public majeur ; 
- lits installés au sein d'une même unité ; 
- unité URA "Les Hirondelles"</v>
      </c>
    </row>
    <row r="16" spans="1:15" ht="86.5" customHeight="1">
      <c r="B16" s="139">
        <v>123</v>
      </c>
      <c r="C16" s="135" t="str">
        <f>VLOOKUP(Tableau12[[#This Row],[Colonne1]],Tableau124[#All],2,FALSE)</f>
        <v>Jura (39)</v>
      </c>
      <c r="D16" s="135" t="str">
        <f>VLOOKUP(Tableau12[[#This Row],[Colonne1]],Tableau124[#All],3,FALSE)</f>
        <v>Dole</v>
      </c>
      <c r="E16" s="135" t="str">
        <f>VLOOKUP(Tableau12[[#This Row],[Colonne1]],Tableau124[#All],4,FALSE)</f>
        <v>39100</v>
      </c>
      <c r="F16" s="135" t="str">
        <f>VLOOKUP(Tableau12[[#This Row],[Colonne1]],Tableau124[#All],5,FALSE)</f>
        <v>Maison des Associations, 9 rue Aristide Briand</v>
      </c>
      <c r="G16" s="135" t="str">
        <f>VLOOKUP(Tableau12[[#This Row],[Colonne1]],Tableau124[#All],6,FALSE)</f>
        <v>CSAPA</v>
      </c>
      <c r="H16" s="135" t="str">
        <f>VLOOKUP(Tableau12[[#This Row],[Colonne1]],Tableau124[#All],7,FALSE)</f>
        <v>CSAPA Briand Dole - Centre Hospitalier Spécialisé du Jura Saint-Ylie</v>
      </c>
      <c r="I16" s="135" t="str">
        <f>VLOOKUP(Tableau12[[#This Row],[Colonne1]],Tableau124[#All],8,FALSE)</f>
        <v>Public</v>
      </c>
      <c r="J16" s="97" t="str">
        <f>VLOOKUP(Tableau12[[#This Row],[Colonne1]],Tableau124[#All],9,FALSE)</f>
        <v>addicto.dole@chsjura.fr</v>
      </c>
      <c r="K16" s="98" t="str">
        <f>VLOOKUP(Tableau12[[#This Row],[Colonne1]],Tableau124[#All],10,FALSE)</f>
        <v>03.84.82.83.85</v>
      </c>
      <c r="L16" s="274" t="str">
        <f>VLOOKUP(Tableau12[[#This Row],[Colonne1]],Tableau124[#All],11,FALSE)</f>
        <v xml:space="preserve"> </v>
      </c>
      <c r="M16" s="100" t="str">
        <f>VLOOKUP(Tableau12[[#This Row],[Colonne1]],Tableau124[#All],12,FALSE)</f>
        <v>Du lundi au vendredi de 8h30 à 17h00</v>
      </c>
      <c r="N16" s="101" t="str">
        <f>VLOOKUP(Tableau12[[#This Row],[Colonne1]],Tableau124[#All],13,FALSE)</f>
        <v>- dispositifs de soin résidentiel sous forme d'appartement thérapeutique sur Dôle (Avenue Duhamel) ;
- intervention en milieu festif ; 
- mise à disposition de matériel de consommation à moindre risque ;
- présence d'une CJC</v>
      </c>
    </row>
    <row r="17" spans="1:14" ht="86.5" customHeight="1">
      <c r="B17" s="139">
        <v>121</v>
      </c>
      <c r="C17" s="180" t="str">
        <f>VLOOKUP(Tableau12[[#This Row],[Colonne1]],Tableau124[#All],2,FALSE)</f>
        <v>Jura (39)</v>
      </c>
      <c r="D17" s="180" t="str">
        <f>VLOOKUP(Tableau12[[#This Row],[Colonne1]],Tableau124[#All],3,FALSE)</f>
        <v>Dole</v>
      </c>
      <c r="E17" s="180" t="str">
        <f>VLOOKUP(Tableau12[[#This Row],[Colonne1]],Tableau124[#All],4,FALSE)</f>
        <v>39100</v>
      </c>
      <c r="F17" s="180" t="str">
        <f>VLOOKUP(Tableau12[[#This Row],[Colonne1]],Tableau124[#All],5,FALSE)</f>
        <v>23 Avenue Pompidou 39100 DOLE</v>
      </c>
      <c r="G17" s="180" t="str">
        <f>VLOOKUP(Tableau12[[#This Row],[Colonne1]],Tableau124[#All],6,FALSE)</f>
        <v>CJC</v>
      </c>
      <c r="H17" s="180" t="str">
        <f>VLOOKUP(Tableau12[[#This Row],[Colonne1]],Tableau124[#All],7,FALSE)</f>
        <v>CSAPA Briand Dole - Centre Hospitalier Spécialisé du Jura Saint-Ylie</v>
      </c>
      <c r="I17" s="180" t="str">
        <f>VLOOKUP(Tableau12[[#This Row],[Colonne1]],Tableau124[#All],8,FALSE)</f>
        <v>Public</v>
      </c>
      <c r="J17" s="90" t="str">
        <f>VLOOKUP(Tableau12[[#This Row],[Colonne1]],Tableau124[#All],9,FALSE)</f>
        <v>addicto.dole@chsjura.fr</v>
      </c>
      <c r="K17" s="91" t="str">
        <f>VLOOKUP(Tableau12[[#This Row],[Colonne1]],Tableau124[#All],10,FALSE)</f>
        <v>03.84.82.83.85</v>
      </c>
      <c r="L17" s="274" t="str">
        <f>VLOOKUP(Tableau12[[#This Row],[Colonne1]],Tableau124[#All],11,FALSE)</f>
        <v xml:space="preserve"> </v>
      </c>
      <c r="M17" s="222" t="str">
        <f>VLOOKUP(Tableau12[[#This Row],[Colonne1]],Tableau124[#All],12,FALSE)</f>
        <v>Mercredi : 8h30 à 17h
Permanence à la Maison des Adolescents Jur'Ado : tous les mercredis de 14h à 15h30</v>
      </c>
      <c r="N17" s="92" t="str">
        <f>VLOOKUP(Tableau12[[#This Row],[Colonne1]],Tableau124[#All],13,FALSE)</f>
        <v xml:space="preserve">- Accueil des familles ; 
- Orientation avec et sans rendez-vous ;
- CJC accessible à la famille et l'entourage ; 
- locaux identiques à ceux du CSAPA. </v>
      </c>
    </row>
    <row r="18" spans="1:14" ht="86.5" customHeight="1">
      <c r="B18" s="139">
        <v>131</v>
      </c>
      <c r="C18" s="135" t="str">
        <f>VLOOKUP(Tableau12[[#This Row],[Colonne1]],Tableau124[#All],2,FALSE)</f>
        <v>Jura (39)</v>
      </c>
      <c r="D18" s="135" t="str">
        <f>VLOOKUP(Tableau12[[#This Row],[Colonne1]],Tableau124[#All],3,FALSE)</f>
        <v>Lons Le Saunier</v>
      </c>
      <c r="E18" s="135" t="str">
        <f>VLOOKUP(Tableau12[[#This Row],[Colonne1]],Tableau124[#All],4,FALSE)</f>
        <v>39000</v>
      </c>
      <c r="F18" s="135" t="str">
        <f>VLOOKUP(Tableau12[[#This Row],[Colonne1]],Tableau124[#All],5,FALSE)</f>
        <v>1, Rue de Balerne</v>
      </c>
      <c r="G18" s="135" t="str">
        <f>VLOOKUP(Tableau12[[#This Row],[Colonne1]],Tableau124[#All],6,FALSE)</f>
        <v>CSAPA</v>
      </c>
      <c r="H18" s="135" t="str">
        <f>VLOOKUP(Tableau12[[#This Row],[Colonne1]],Tableau124[#All],7,FALSE)</f>
        <v>CSAPA de l'ADLCA</v>
      </c>
      <c r="I18" s="135" t="str">
        <f>VLOOKUP(Tableau12[[#This Row],[Colonne1]],Tableau124[#All],8,FALSE)</f>
        <v>Associatif</v>
      </c>
      <c r="J18" s="97" t="str">
        <f>VLOOKUP(Tableau12[[#This Row],[Colonne1]],Tableau124[#All],9,FALSE)</f>
        <v>lons@adlca.fr</v>
      </c>
      <c r="K18" s="98" t="str">
        <f>VLOOKUP(Tableau12[[#This Row],[Colonne1]],Tableau124[#All],10,FALSE)</f>
        <v>0384240571</v>
      </c>
      <c r="L18" s="268" t="str">
        <f>VLOOKUP(Tableau12[[#This Row],[Colonne1]],Tableau124[#All],11,FALSE)</f>
        <v>https://csapa-adlca.fr/</v>
      </c>
      <c r="M18" s="100" t="str">
        <f>VLOOKUP(Tableau12[[#This Row],[Colonne1]],Tableau124[#All],12,FALSE)</f>
        <v>Lundi au vendredi 8h30-17h30</v>
      </c>
      <c r="N18" s="101" t="str">
        <f>VLOOKUP(Tableau12[[#This Row],[Colonne1]],Tableau124[#All],13,FALSE)</f>
        <v>- Réalisation de consultations avancées sur Cousance et Salins-les-Bains ;
- intervention en milieu pénitentiaire à la maison d'arrêt de Lons-le-Saunier ;
- mise à disposition de matériel de consommation à moindre risque ;
- dispositifs anti-overdose à disposition ; 
- présence d'une CJC.</v>
      </c>
    </row>
    <row r="19" spans="1:14" ht="86.5" customHeight="1">
      <c r="B19" s="139">
        <v>129</v>
      </c>
      <c r="C19" s="180" t="str">
        <f>VLOOKUP(Tableau12[[#This Row],[Colonne1]],Tableau124[#All],2,FALSE)</f>
        <v>Jura (39)</v>
      </c>
      <c r="D19" s="180" t="str">
        <f>VLOOKUP(Tableau12[[#This Row],[Colonne1]],Tableau124[#All],3,FALSE)</f>
        <v>Lons Le Saunier</v>
      </c>
      <c r="E19" s="180" t="str">
        <f>VLOOKUP(Tableau12[[#This Row],[Colonne1]],Tableau124[#All],4,FALSE)</f>
        <v>39000</v>
      </c>
      <c r="F19" s="180" t="str">
        <f>VLOOKUP(Tableau12[[#This Row],[Colonne1]],Tableau124[#All],5,FALSE)</f>
        <v>Info jeunesse Jura 17 place Perraud, 39000 Lons Le Saunier</v>
      </c>
      <c r="G19" s="180" t="str">
        <f>VLOOKUP(Tableau12[[#This Row],[Colonne1]],Tableau124[#All],6,FALSE)</f>
        <v>CJC</v>
      </c>
      <c r="H19" s="180" t="str">
        <f>VLOOKUP(Tableau12[[#This Row],[Colonne1]],Tableau124[#All],7,FALSE)</f>
        <v>CSAPA de l'ADLCA</v>
      </c>
      <c r="I19" s="180" t="str">
        <f>VLOOKUP(Tableau12[[#This Row],[Colonne1]],Tableau124[#All],8,FALSE)</f>
        <v>Associatif</v>
      </c>
      <c r="J19" s="90" t="str">
        <f>VLOOKUP(Tableau12[[#This Row],[Colonne1]],Tableau124[#All],9,FALSE)</f>
        <v xml:space="preserve"> lons@adlca.fr </v>
      </c>
      <c r="K19" s="91" t="str">
        <f>VLOOKUP(Tableau12[[#This Row],[Colonne1]],Tableau124[#All],10,FALSE)</f>
        <v>0384240571</v>
      </c>
      <c r="L19" s="306" t="str">
        <f>VLOOKUP(Tableau12[[#This Row],[Colonne1]],Tableau124[#All],11,FALSE)</f>
        <v>https://csapa-adlca.fr</v>
      </c>
      <c r="M19" s="222" t="str">
        <f>VLOOKUP(Tableau12[[#This Row],[Colonne1]],Tableau124[#All],12,FALSE)</f>
        <v xml:space="preserve"> tous les mercredi après-midi 13h30-17h</v>
      </c>
      <c r="N19" s="92" t="str">
        <f>VLOOKUP(Tableau12[[#This Row],[Colonne1]],Tableau124[#All],13,FALSE)</f>
        <v>- Accueil des familles ; 
- Orientation sur rendez-vous ;
- CJC accessible à la famille et l'entourage ; 
-  locaux extérieurs au CSAPA</v>
      </c>
    </row>
    <row r="20" spans="1:14" ht="86.5" customHeight="1">
      <c r="B20" s="139">
        <v>133</v>
      </c>
      <c r="C20" s="119" t="str">
        <f>VLOOKUP(Tableau12[[#This Row],[Colonne1]],Tableau124[#All],2,FALSE)</f>
        <v>Jura (39)</v>
      </c>
      <c r="D20" s="119" t="str">
        <f>VLOOKUP(Tableau12[[#This Row],[Colonne1]],Tableau124[#All],3,FALSE)</f>
        <v>Lons Le Saunier</v>
      </c>
      <c r="E20" s="119" t="str">
        <f>VLOOKUP(Tableau12[[#This Row],[Colonne1]],Tableau124[#All],4,FALSE)</f>
        <v>39000</v>
      </c>
      <c r="F20" s="119" t="str">
        <f>VLOOKUP(Tableau12[[#This Row],[Colonne1]],Tableau124[#All],5,FALSE)</f>
        <v>Centre Hospitalier de Lons le Saunier, 55 rue du Dr Jean Michel, Dans plusieurs services</v>
      </c>
      <c r="G20" s="121" t="str">
        <f>VLOOKUP(Tableau12[[#This Row],[Colonne1]],Tableau124[#All],6,FALSE)</f>
        <v>ELSA</v>
      </c>
      <c r="H20" s="119" t="str">
        <f>VLOOKUP(Tableau12[[#This Row],[Colonne1]],Tableau124[#All],7,FALSE)</f>
        <v>Centre Hospitalier de Lons le Saunier</v>
      </c>
      <c r="I20" s="119" t="str">
        <f>VLOOKUP(Tableau12[[#This Row],[Colonne1]],Tableau124[#All],8,FALSE)</f>
        <v>Public</v>
      </c>
      <c r="J20" s="65" t="str">
        <f>VLOOKUP(Tableau12[[#This Row],[Colonne1]],Tableau124[#All],9,FALSE)</f>
        <v>secretariat.elsa-chjs@hopitaux-jura.fr  
ide.elsa@hopitaux-jura.fr</v>
      </c>
      <c r="K20" s="144" t="str">
        <f>VLOOKUP(Tableau12[[#This Row],[Colonne1]],Tableau124[#All],10,FALSE)</f>
        <v>03.84.35.61.27 (ide) 
03.84.35.64.68 (secrétariat)</v>
      </c>
      <c r="L20" s="276" t="str">
        <f>VLOOKUP(Tableau12[[#This Row],[Colonne1]],Tableau124[#All],11,FALSE)</f>
        <v>https://hopitaux-jura.fr/</v>
      </c>
      <c r="M20" s="215" t="str">
        <f>VLOOKUP(Tableau12[[#This Row],[Colonne1]],Tableau124[#All],12,FALSE)</f>
        <v xml:space="preserve">  </v>
      </c>
      <c r="N20" s="536" t="str">
        <f>VLOOKUP(Tableau12[[#This Row],[Colonne1]],Tableau124[#All],13,FALSE)</f>
        <v>- intervention auprès de public majeur ; 
- Tous les services demandeurs (urgences, post-urgences, maternité-gynéco, réa, chirurgie, neurologie, diabéto, gériatrie, pédiatrie, cardiologie...).
NB : nous accueillons tous ceux qui en font la demande, majeurs et mineurs...</v>
      </c>
    </row>
    <row r="21" spans="1:14" ht="86.5" customHeight="1">
      <c r="B21" s="139">
        <v>130</v>
      </c>
      <c r="C21" s="104" t="str">
        <f>VLOOKUP(Tableau12[[#This Row],[Colonne1]],Tableau124[#All],2,FALSE)</f>
        <v>Jura (39)</v>
      </c>
      <c r="D21" s="104" t="str">
        <f>VLOOKUP(Tableau12[[#This Row],[Colonne1]],Tableau124[#All],3,FALSE)</f>
        <v>Lons Le Saunier</v>
      </c>
      <c r="E21" s="104" t="str">
        <f>VLOOKUP(Tableau12[[#This Row],[Colonne1]],Tableau124[#All],4,FALSE)</f>
        <v>39000</v>
      </c>
      <c r="F21" s="104" t="str">
        <f>VLOOKUP(Tableau12[[#This Row],[Colonne1]],Tableau124[#All],5,FALSE)</f>
        <v>Pavillon B, 3ème étage.
55 Rue du Dr Jean Michel</v>
      </c>
      <c r="G21" s="104" t="str">
        <f>VLOOKUP(Tableau12[[#This Row],[Colonne1]],Tableau124[#All],6,FALSE)</f>
        <v>Consultations Hospitalières externes d'addictologie</v>
      </c>
      <c r="H21" s="104" t="str">
        <f>VLOOKUP(Tableau12[[#This Row],[Colonne1]],Tableau124[#All],7,FALSE)</f>
        <v>Centre Hospitalier de Lons le Saunier</v>
      </c>
      <c r="I21" s="104" t="str">
        <f>VLOOKUP(Tableau12[[#This Row],[Colonne1]],Tableau124[#All],8,FALSE)</f>
        <v>Public</v>
      </c>
      <c r="J21" s="130" t="str">
        <f>VLOOKUP(Tableau12[[#This Row],[Colonne1]],Tableau124[#All],9,FALSE)</f>
        <v>secretariat.elsa-chjs@hopitaux-jura.fr  
ide.elsa@hopitaux-jura.fr</v>
      </c>
      <c r="K21" s="131" t="str">
        <f>VLOOKUP(Tableau12[[#This Row],[Colonne1]],Tableau124[#All],10,FALSE)</f>
        <v>03.84.35.61.27 (ide) 
03.84.35.64.68 (secrétariat)</v>
      </c>
      <c r="L21" s="265" t="str">
        <f>VLOOKUP(Tableau12[[#This Row],[Colonne1]],Tableau124[#All],11,FALSE)</f>
        <v>https://hopitaux-jura.fr/</v>
      </c>
      <c r="M21" s="206" t="str">
        <f>VLOOKUP(Tableau12[[#This Row],[Colonne1]],Tableau124[#All],12,FALSE)</f>
        <v>Tous les jours (ouvrables) plutôt l'après-midi (mais aussi le matin si urgence).</v>
      </c>
      <c r="N21" s="128" t="str">
        <f>VLOOKUP(Tableau12[[#This Row],[Colonne1]],Tableau124[#All],13,FALSE)</f>
        <v>Intervention auprès de public majeurs et mineurs</v>
      </c>
    </row>
    <row r="22" spans="1:14" ht="86.5" customHeight="1">
      <c r="B22" s="139">
        <v>132</v>
      </c>
      <c r="C22" s="135" t="str">
        <f>VLOOKUP(Tableau12[[#This Row],[Colonne1]],Tableau124[#All],2,FALSE)</f>
        <v>Jura (39)</v>
      </c>
      <c r="D22" s="135" t="str">
        <f>VLOOKUP(Tableau12[[#This Row],[Colonne1]],Tableau124[#All],3,FALSE)</f>
        <v>Lons Le Saunier</v>
      </c>
      <c r="E22" s="135" t="str">
        <f>VLOOKUP(Tableau12[[#This Row],[Colonne1]],Tableau124[#All],4,FALSE)</f>
        <v>39000</v>
      </c>
      <c r="F22" s="135" t="str">
        <f>VLOOKUP(Tableau12[[#This Row],[Colonne1]],Tableau124[#All],5,FALSE)</f>
        <v>15 Av. d'Offenbourg</v>
      </c>
      <c r="G22" s="135" t="str">
        <f>VLOOKUP(Tableau12[[#This Row],[Colonne1]],Tableau124[#All],6,FALSE)</f>
        <v>CSAPA</v>
      </c>
      <c r="H22" s="135" t="str">
        <f>VLOOKUP(Tableau12[[#This Row],[Colonne1]],Tableau124[#All],7,FALSE)</f>
        <v>CSAPA Oppelia Passerelle 39</v>
      </c>
      <c r="I22" s="135" t="str">
        <f>VLOOKUP(Tableau12[[#This Row],[Colonne1]],Tableau124[#All],8,FALSE)</f>
        <v>Associatif</v>
      </c>
      <c r="J22" s="97" t="str">
        <f>VLOOKUP(Tableau12[[#This Row],[Colonne1]],Tableau124[#All],9,FALSE)</f>
        <v>contactp39@oppelia.fr</v>
      </c>
      <c r="K22" s="98" t="str">
        <f>VLOOKUP(Tableau12[[#This Row],[Colonne1]],Tableau124[#All],10,FALSE)</f>
        <v>03 84 24 66 83</v>
      </c>
      <c r="L22" s="268" t="str">
        <f>VLOOKUP(Tableau12[[#This Row],[Colonne1]],Tableau124[#All],11,FALSE)</f>
        <v>https://www.oppelia.fr/etablissement/passerelle-39-lons-le-saunier/</v>
      </c>
      <c r="M22" s="100" t="str">
        <f>VLOOKUP(Tableau12[[#This Row],[Colonne1]],Tableau124[#All],12,FALSE)</f>
        <v>Lundi , Mercredi: 9h00 - 18h00
Mardi: 9h00 - 20h00
jeudi : 13h30 -18h00
Vendredi: 9h00 - 17h30
Secrétariat: tous les jours de 9h00 à 12h30 et de 13h30 à 17h00 (sauf le jeudi matin)</v>
      </c>
      <c r="N22" s="101" t="str">
        <f>VLOOKUP(Tableau12[[#This Row],[Colonne1]],Tableau124[#All],13,FALSE)</f>
        <v>- suivi médico-psycho-social : accueil, entretiens, consultations ; 
- mise à disposition de matériel de consommation à moindre risque ;
- proposition de test rapide d'orientation diagnostic (TROD) ; 
- dispositifs anti-overdose à disposition ; 
- présence d'une CJC; 
- présence d'une équipe mobile.</v>
      </c>
    </row>
    <row r="23" spans="1:14" ht="86.5" customHeight="1">
      <c r="B23" s="139">
        <v>253</v>
      </c>
      <c r="C23" s="135" t="str">
        <f>VLOOKUP(Tableau12[[#This Row],[Colonne1]],Tableau124[#All],2,FALSE)</f>
        <v>Jura (39)</v>
      </c>
      <c r="D23" s="135" t="str">
        <f>VLOOKUP(Tableau12[[#This Row],[Colonne1]],Tableau124[#All],3,FALSE)</f>
        <v>Lons Le Saunier</v>
      </c>
      <c r="E23" s="135">
        <f>VLOOKUP(Tableau12[[#This Row],[Colonne1]],Tableau124[#All],4,FALSE)</f>
        <v>39000</v>
      </c>
      <c r="F23" s="135" t="str">
        <f>VLOOKUP(Tableau12[[#This Row],[Colonne1]],Tableau124[#All],5,FALSE)</f>
        <v>15 avenue Offenbourg</v>
      </c>
      <c r="G23" s="135" t="str">
        <f>VLOOKUP(Tableau12[[#This Row],[Colonne1]],Tableau124[#All],6,FALSE)</f>
        <v>Equipe mobile CSAPA</v>
      </c>
      <c r="H23" s="135" t="str">
        <f>VLOOKUP(Tableau12[[#This Row],[Colonne1]],Tableau124[#All],7,FALSE)</f>
        <v xml:space="preserve">CSAPA Oppélia Passerelle 39 </v>
      </c>
      <c r="I23" s="135" t="str">
        <f>VLOOKUP(Tableau12[[#This Row],[Colonne1]],Tableau124[#All],8,FALSE)</f>
        <v xml:space="preserve">Associatif </v>
      </c>
      <c r="J23" s="530" t="str">
        <f>VLOOKUP(Tableau12[[#This Row],[Colonne1]],Tableau124[#All],9,FALSE)</f>
        <v>contactp39@oppelia.fr</v>
      </c>
      <c r="K23" s="98" t="str">
        <f>VLOOKUP(Tableau12[[#This Row],[Colonne1]],Tableau124[#All],10,FALSE)</f>
        <v>07 56 30 12 96</v>
      </c>
      <c r="L23" s="533" t="str">
        <f>VLOOKUP(Tableau12[[#This Row],[Colonne1]],Tableau124[#All],11,FALSE)</f>
        <v xml:space="preserve">https://www.oppelia.fr/structure/passerelle-39/ </v>
      </c>
      <c r="M23" s="85" t="str">
        <f>VLOOKUP(Tableau12[[#This Row],[Colonne1]],Tableau124[#All],12,FALSE)</f>
        <v xml:space="preserve">les lundis de 9h à 18h00, mardis de 9h00 à13h00 et vendredis de 9 h00 à17h 00
</v>
      </c>
      <c r="N23" s="534" t="str">
        <f>VLOOKUP(Tableau12[[#This Row],[Colonne1]],Tableau124[#All],13,FALSE)</f>
        <v>Le périmètre d’intervention est le département du Jura. L’équipe mobile peut se mobiliser à la demande des usagers ou de professionnels en lien avec des usagers principalement lorsque ceux-ci sont éloignés des dispositifs existants géographiquement ou qu’ils rencontrent des difficultés pour s’y rendre.
En dehors de ces horaires les personnes peuvent contacter le secrétariat d’Oppelia Passerelle39 au 03 84 24 66 83 qui est ouvert du lundi au vendredi de 9h00 à 17h00.</v>
      </c>
    </row>
    <row r="24" spans="1:14" ht="86.5" customHeight="1">
      <c r="B24" s="139">
        <v>128</v>
      </c>
      <c r="C24" s="171" t="str">
        <f>VLOOKUP(Tableau12[[#This Row],[Colonne1]],Tableau124[#All],2,FALSE)</f>
        <v>Jura (39)</v>
      </c>
      <c r="D24" s="171" t="str">
        <f>VLOOKUP(Tableau12[[#This Row],[Colonne1]],Tableau124[#All],3,FALSE)</f>
        <v>Lons Le Saunier</v>
      </c>
      <c r="E24" s="171" t="str">
        <f>VLOOKUP(Tableau12[[#This Row],[Colonne1]],Tableau124[#All],4,FALSE)</f>
        <v>39000</v>
      </c>
      <c r="F24" s="171" t="str">
        <f>VLOOKUP(Tableau12[[#This Row],[Colonne1]],Tableau124[#All],5,FALSE)</f>
        <v>8 rue Jules Bury</v>
      </c>
      <c r="G24" s="171" t="str">
        <f>VLOOKUP(Tableau12[[#This Row],[Colonne1]],Tableau124[#All],6,FALSE)</f>
        <v>CAARUD de réduction des risques et des dommages à distance</v>
      </c>
      <c r="H24" s="171" t="str">
        <f>VLOOKUP(Tableau12[[#This Row],[Colonne1]],Tableau124[#All],7,FALSE)</f>
        <v>CAARUD Oppelia Passerelle 39</v>
      </c>
      <c r="I24" s="171" t="str">
        <f>VLOOKUP(Tableau12[[#This Row],[Colonne1]],Tableau124[#All],8,FALSE)</f>
        <v>Associatif</v>
      </c>
      <c r="J24" s="103" t="str">
        <f>VLOOKUP(Tableau12[[#This Row],[Colonne1]],Tableau124[#All],9,FALSE)</f>
        <v>contactp39@oppelia.fr</v>
      </c>
      <c r="K24" s="532" t="str">
        <f>VLOOKUP(Tableau12[[#This Row],[Colonne1]],Tableau124[#All],10,FALSE)</f>
        <v>03 84 24 66 83</v>
      </c>
      <c r="L24" s="297" t="str">
        <f>VLOOKUP(Tableau12[[#This Row],[Colonne1]],Tableau124[#All],11,FALSE)</f>
        <v>https://www.oppelia.fr/etablissement/passerelle-39-lons-le-saunier/</v>
      </c>
      <c r="M24" s="172" t="str">
        <f>VLOOKUP(Tableau12[[#This Row],[Colonne1]],Tableau124[#All],12,FALSE)</f>
        <v>Accueil fixe: mardi de 13h30 à 17h00, mercredi de 8h00 à 12h30, jeudi de 16h30 à 20h00</v>
      </c>
      <c r="N24" s="538" t="str">
        <f>VLOOKUP(Tableau12[[#This Row],[Colonne1]],Tableau124[#All],13,FALSE)</f>
        <v>- Permanences d'accueil ou accueil sur rendez-vous
- unité mobile pouvant servir de lieu d'accueil (déplacements sur tout le département du Jura) ; 
- programme d'échange de seringues ;
- intervention en maraude ; 
- mise à disposition de matériel de consommation à moindre risque ;
- proposition de test rapide d'orientation diagnostic (TROD) ; 
- dispositif TAPAJ
- intervention en milieu festif ;
- intervention en milieu pénitentier à la Maison d'arrêt de Lons-le-Saunier.</v>
      </c>
    </row>
    <row r="25" spans="1:14" ht="86.5" customHeight="1">
      <c r="B25" s="139">
        <v>136</v>
      </c>
      <c r="C25" s="135" t="str">
        <f>VLOOKUP(Tableau12[[#This Row],[Colonne1]],Tableau124[#All],2,FALSE)</f>
        <v>Jura (39)</v>
      </c>
      <c r="D25" s="135" t="str">
        <f>VLOOKUP(Tableau12[[#This Row],[Colonne1]],Tableau124[#All],3,FALSE)</f>
        <v xml:space="preserve">Morez - Haut de Bienne </v>
      </c>
      <c r="E25" s="135">
        <f>VLOOKUP(Tableau12[[#This Row],[Colonne1]],Tableau124[#All],4,FALSE)</f>
        <v>39400</v>
      </c>
      <c r="F25" s="135" t="str">
        <f>VLOOKUP(Tableau12[[#This Row],[Colonne1]],Tableau124[#All],5,FALSE)</f>
        <v>23 avenue de la Libération</v>
      </c>
      <c r="G25" s="135" t="str">
        <f>VLOOKUP(Tableau12[[#This Row],[Colonne1]],Tableau124[#All],6,FALSE)</f>
        <v>CSAPA (consultations avancées)</v>
      </c>
      <c r="H25" s="135" t="str">
        <f>VLOOKUP(Tableau12[[#This Row],[Colonne1]],Tableau124[#All],7,FALSE)</f>
        <v>CSAPA Oppelia Passerelle 39 - consultations avancées</v>
      </c>
      <c r="I25" s="135" t="str">
        <f>VLOOKUP(Tableau12[[#This Row],[Colonne1]],Tableau124[#All],8,FALSE)</f>
        <v>Associatif</v>
      </c>
      <c r="J25" s="84" t="str">
        <f>VLOOKUP(Tableau12[[#This Row],[Colonne1]],Tableau124[#All],9,FALSE)</f>
        <v>contactp39@oppelia.fr</v>
      </c>
      <c r="K25" s="427" t="str">
        <f>VLOOKUP(Tableau12[[#This Row],[Colonne1]],Tableau124[#All],10,FALSE)</f>
        <v>04 84 24 66 83</v>
      </c>
      <c r="L25" s="269" t="str">
        <f>VLOOKUP(Tableau12[[#This Row],[Colonne1]],Tableau124[#All],11,FALSE)</f>
        <v>www.oppelia.fr</v>
      </c>
      <c r="M25" s="96" t="str">
        <f>VLOOKUP(Tableau12[[#This Row],[Colonne1]],Tableau124[#All],12,FALSE)</f>
        <v>Le premier et troisième jeudi de chaque mois, de 14h00 à 18h00 (appeler en amont)</v>
      </c>
      <c r="N25" s="430" t="str">
        <f>VLOOKUP(Tableau12[[#This Row],[Colonne1]],Tableau124[#All],13,FALSE)</f>
        <v>Réalisation de consultations avancées</v>
      </c>
    </row>
    <row r="26" spans="1:14" s="47" customFormat="1" ht="86.5" customHeight="1">
      <c r="A26" s="168"/>
      <c r="B26" s="139">
        <v>138</v>
      </c>
      <c r="C26" s="186" t="str">
        <f>VLOOKUP(Tableau12[[#This Row],[Colonne1]],Tableau124[#All],2,FALSE)</f>
        <v>Jura (39)</v>
      </c>
      <c r="D26" s="186" t="str">
        <f>VLOOKUP(Tableau12[[#This Row],[Colonne1]],Tableau124[#All],3,FALSE)</f>
        <v>Saint-Claude</v>
      </c>
      <c r="E26" s="186">
        <f>VLOOKUP(Tableau12[[#This Row],[Colonne1]],Tableau124[#All],4,FALSE)</f>
        <v>39200</v>
      </c>
      <c r="F26" s="186" t="str">
        <f>VLOOKUP(Tableau12[[#This Row],[Colonne1]],Tableau124[#All],5,FALSE)</f>
        <v xml:space="preserve"> Centre de Périnatalité de Proximité de Saint-Claude, 2 Rue de l'Hôpital</v>
      </c>
      <c r="G26" s="135" t="str">
        <f>VLOOKUP(Tableau12[[#This Row],[Colonne1]],Tableau124[#All],6,FALSE)</f>
        <v>CSAPA (consultations avancées)</v>
      </c>
      <c r="H26" s="135" t="str">
        <f>VLOOKUP(Tableau12[[#This Row],[Colonne1]],Tableau124[#All],7,FALSE)</f>
        <v>CSAPA - Oppélia39 - consultations avancées - Centre de Périnatalité de Proximité de Saint-Claude</v>
      </c>
      <c r="I26" s="135" t="str">
        <f>VLOOKUP(Tableau12[[#This Row],[Colonne1]],Tableau124[#All],8,FALSE)</f>
        <v>Associatif</v>
      </c>
      <c r="J26" s="84" t="str">
        <f>VLOOKUP(Tableau12[[#This Row],[Colonne1]],Tableau124[#All],9,FALSE)</f>
        <v>contactp39@oppelia.fr</v>
      </c>
      <c r="K26" s="427" t="str">
        <f>VLOOKUP(Tableau12[[#This Row],[Colonne1]],Tableau124[#All],10,FALSE)</f>
        <v>03 84 24 66 83</v>
      </c>
      <c r="L26" s="269" t="str">
        <f>VLOOKUP(Tableau12[[#This Row],[Colonne1]],Tableau124[#All],11,FALSE)</f>
        <v>https://www.oppelia.fr/etablissement/passerelle-39-saint-claude/</v>
      </c>
      <c r="M26" s="135" t="str">
        <f>VLOOKUP(Tableau12[[#This Row],[Colonne1]],Tableau124[#All],12,FALSE)</f>
        <v>Lundi : 10h à 12h30 - 13h30 à 16h</v>
      </c>
      <c r="N26" s="430" t="str">
        <f>VLOOKUP(Tableau12[[#This Row],[Colonne1]],Tableau124[#All],13,FALSE)</f>
        <v>Réalisation de consultations avancées</v>
      </c>
    </row>
    <row r="27" spans="1:14" ht="86.5" customHeight="1">
      <c r="B27" s="139">
        <v>137</v>
      </c>
      <c r="C27" s="135" t="str">
        <f>VLOOKUP(Tableau12[[#This Row],[Colonne1]],Tableau124[#All],2,FALSE)</f>
        <v>Jura (39)</v>
      </c>
      <c r="D27" s="135" t="str">
        <f>VLOOKUP(Tableau12[[#This Row],[Colonne1]],Tableau124[#All],3,FALSE)</f>
        <v>Saint-Claude</v>
      </c>
      <c r="E27" s="135">
        <f>VLOOKUP(Tableau12[[#This Row],[Colonne1]],Tableau124[#All],4,FALSE)</f>
        <v>39200</v>
      </c>
      <c r="F27" s="135" t="str">
        <f>VLOOKUP(Tableau12[[#This Row],[Colonne1]],Tableau124[#All],5,FALSE)</f>
        <v>45 rue due Collège</v>
      </c>
      <c r="G27" s="135" t="str">
        <f>VLOOKUP(Tableau12[[#This Row],[Colonne1]],Tableau124[#All],6,FALSE)</f>
        <v>Antenne CSAPA</v>
      </c>
      <c r="H27" s="135" t="str">
        <f>VLOOKUP(Tableau12[[#This Row],[Colonne1]],Tableau124[#All],7,FALSE)</f>
        <v>CSAPA Oppelia Passerelle 39</v>
      </c>
      <c r="I27" s="135" t="str">
        <f>VLOOKUP(Tableau12[[#This Row],[Colonne1]],Tableau124[#All],8,FALSE)</f>
        <v>Associatif</v>
      </c>
      <c r="J27" s="97" t="str">
        <f>VLOOKUP(Tableau12[[#This Row],[Colonne1]],Tableau124[#All],9,FALSE)</f>
        <v>contactp39@oppelia.fr</v>
      </c>
      <c r="K27" s="86" t="str">
        <f>VLOOKUP(Tableau12[[#This Row],[Colonne1]],Tableau124[#All],10,FALSE)</f>
        <v>03 84 24 66 83</v>
      </c>
      <c r="L27" s="303" t="str">
        <f>VLOOKUP(Tableau12[[#This Row],[Colonne1]],Tableau124[#All],11,FALSE)</f>
        <v>https://www.oppelia.fr/etablissement/passerelle-39-lons-le-saunier/</v>
      </c>
      <c r="M27" s="186" t="str">
        <f>VLOOKUP(Tableau12[[#This Row],[Colonne1]],Tableau124[#All],12,FALSE)</f>
        <v>Lundi: 10h à 12h - 14h à 13h30-17h, Mardi: 9h à 12h - 13h à 18h, Mercredi 9h - 12h - 13h-17h30, jeudi 9h à 12h - 13h à 19h, vendredi: 10h à 12h - 13h à 17h30</v>
      </c>
      <c r="N27" s="102" t="str">
        <f>VLOOKUP(Tableau12[[#This Row],[Colonne1]],Tableau124[#All],13,FALSE)</f>
        <v>- suivi médico-psycho-social : accueil, entretiens, consultations ; 
- mise à disposition de matériel de consommation à moindre risque ;
- proposition de test rapide d'orientation diagnostic (TROD) ; 
- dispositifs anti-overdose à disposition ; 
- présence d'une CJC.</v>
      </c>
    </row>
    <row r="28" spans="1:14" ht="86.5" customHeight="1">
      <c r="B28" s="139">
        <v>139</v>
      </c>
      <c r="C28" s="119" t="str">
        <f>VLOOKUP(Tableau12[[#This Row],[Colonne1]],Tableau124[#All],2,FALSE)</f>
        <v>Jura (39)</v>
      </c>
      <c r="D28" s="119" t="str">
        <f>VLOOKUP(Tableau12[[#This Row],[Colonne1]],Tableau124[#All],3,FALSE)</f>
        <v>Saint-Ylie Dole</v>
      </c>
      <c r="E28" s="119" t="str">
        <f>VLOOKUP(Tableau12[[#This Row],[Colonne1]],Tableau124[#All],4,FALSE)</f>
        <v>39108</v>
      </c>
      <c r="F28" s="121" t="str">
        <f>VLOOKUP(Tableau12[[#This Row],[Colonne1]],Tableau124[#All],5,FALSE)</f>
        <v>CHS Saint-Ylie Jura, 120 route nationale, Dans plusieurs services</v>
      </c>
      <c r="G28" s="121" t="str">
        <f>VLOOKUP(Tableau12[[#This Row],[Colonne1]],Tableau124[#All],6,FALSE)</f>
        <v>ELSA</v>
      </c>
      <c r="H28" s="119" t="str">
        <f>VLOOKUP(Tableau12[[#This Row],[Colonne1]],Tableau124[#All],7,FALSE)</f>
        <v>CHS Saint-Ylie Jura
Centre hospitalier spécialisé du Jura</v>
      </c>
      <c r="I28" s="119" t="str">
        <f>VLOOKUP(Tableau12[[#This Row],[Colonne1]],Tableau124[#All],8,FALSE)</f>
        <v>Public</v>
      </c>
      <c r="J28" s="65" t="str">
        <f>VLOOKUP(Tableau12[[#This Row],[Colonne1]],Tableau124[#All],9,FALSE)</f>
        <v>ura.addictologie@chsjura.fr</v>
      </c>
      <c r="K28" s="144" t="str">
        <f>VLOOKUP(Tableau12[[#This Row],[Colonne1]],Tableau124[#All],10,FALSE)</f>
        <v>06 43 31 18 99</v>
      </c>
      <c r="L28" s="276" t="str">
        <f>VLOOKUP(Tableau12[[#This Row],[Colonne1]],Tableau124[#All],11,FALSE)</f>
        <v>www.chsjura.fr</v>
      </c>
      <c r="M28" s="215" t="str">
        <f>VLOOKUP(Tableau12[[#This Row],[Colonne1]],Tableau124[#All],12,FALSE)</f>
        <v xml:space="preserve"> </v>
      </c>
      <c r="N28" s="64" t="str">
        <f>VLOOKUP(Tableau12[[#This Row],[Colonne1]],Tableau124[#All],13,FALSE)</f>
        <v>- intervention auprès de public majeur ; 
- intervention en URA et dans l'ensemble des services du CHS Saint-ylie Jura, au CHLP Dole
RQ: L'ELSA est rattaché au CSAPA de Dole lui même rattaché au CHS Saint-ylie Jura</v>
      </c>
    </row>
    <row r="29" spans="1:14" ht="86.5" customHeight="1">
      <c r="B29" s="139">
        <v>140</v>
      </c>
      <c r="C29" s="135" t="str">
        <f>VLOOKUP(Tableau12[[#This Row],[Colonne1]],Tableau124[#All],2,FALSE)</f>
        <v>Jura (39)</v>
      </c>
      <c r="D29" s="135" t="str">
        <f>VLOOKUP(Tableau12[[#This Row],[Colonne1]],Tableau124[#All],3,FALSE)</f>
        <v>Salins Les Bains</v>
      </c>
      <c r="E29" s="135">
        <f>VLOOKUP(Tableau12[[#This Row],[Colonne1]],Tableau124[#All],4,FALSE)</f>
        <v>39110</v>
      </c>
      <c r="F29" s="135" t="str">
        <f>VLOOKUP(Tableau12[[#This Row],[Colonne1]],Tableau124[#All],5,FALSE)</f>
        <v>1 rue des Bains 39110 Salins Les Bains</v>
      </c>
      <c r="G29" s="135" t="str">
        <f>VLOOKUP(Tableau12[[#This Row],[Colonne1]],Tableau124[#All],6,FALSE)</f>
        <v>CSAPA (consultations avancées)</v>
      </c>
      <c r="H29" s="135" t="str">
        <f>VLOOKUP(Tableau12[[#This Row],[Colonne1]],Tableau124[#All],7,FALSE)</f>
        <v>CSAPA de l'ADLCA - consultations avancées</v>
      </c>
      <c r="I29" s="135" t="str">
        <f>VLOOKUP(Tableau12[[#This Row],[Colonne1]],Tableau124[#All],8,FALSE)</f>
        <v>Associatif</v>
      </c>
      <c r="J29" s="97" t="str">
        <f>VLOOKUP(Tableau12[[#This Row],[Colonne1]],Tableau124[#All],9,FALSE)</f>
        <v>arbois@adlca.fr</v>
      </c>
      <c r="K29" s="98">
        <f>VLOOKUP(Tableau12[[#This Row],[Colonne1]],Tableau124[#All],10,FALSE)</f>
        <v>756263989</v>
      </c>
      <c r="L29" s="268" t="str">
        <f>VLOOKUP(Tableau12[[#This Row],[Colonne1]],Tableau124[#All],11,FALSE)</f>
        <v>https://csapa-adlca.fr/</v>
      </c>
      <c r="M29" s="100" t="str">
        <f>VLOOKUP(Tableau12[[#This Row],[Colonne1]],Tableau124[#All],12,FALSE)</f>
        <v xml:space="preserve">vendredi de 9h30 à 16h30 </v>
      </c>
      <c r="N29" s="87" t="str">
        <f>VLOOKUP(Tableau12[[#This Row],[Colonne1]],Tableau124[#All],13,FALSE)</f>
        <v>Réalisation de consultations avancées</v>
      </c>
    </row>
    <row r="30" spans="1:14" ht="86.5" customHeight="1">
      <c r="B30" s="139">
        <v>141</v>
      </c>
      <c r="C30" s="180" t="str">
        <f>VLOOKUP(Tableau12[[#This Row],[Colonne1]],Tableau124[#All],2,FALSE)</f>
        <v>Jura (39)</v>
      </c>
      <c r="D30" s="180" t="str">
        <f>VLOOKUP(Tableau12[[#This Row],[Colonne1]],Tableau124[#All],3,FALSE)</f>
        <v>St Claude</v>
      </c>
      <c r="E30" s="180">
        <f>VLOOKUP(Tableau12[[#This Row],[Colonne1]],Tableau124[#All],4,FALSE)</f>
        <v>39200</v>
      </c>
      <c r="F30" s="180" t="str">
        <f>VLOOKUP(Tableau12[[#This Row],[Colonne1]],Tableau124[#All],5,FALSE)</f>
        <v>45 rue des prés (Saint-Claude)</v>
      </c>
      <c r="G30" s="180" t="str">
        <f>VLOOKUP(Tableau12[[#This Row],[Colonne1]],Tableau124[#All],6,FALSE)</f>
        <v>CJC</v>
      </c>
      <c r="H30" s="180" t="str">
        <f>VLOOKUP(Tableau12[[#This Row],[Colonne1]],Tableau124[#All],7,FALSE)</f>
        <v>CSAPA Oppelia Passerelle 39</v>
      </c>
      <c r="I30" s="180" t="str">
        <f>VLOOKUP(Tableau12[[#This Row],[Colonne1]],Tableau124[#All],8,FALSE)</f>
        <v>Associatif</v>
      </c>
      <c r="J30" s="531" t="str">
        <f>VLOOKUP(Tableau12[[#This Row],[Colonne1]],Tableau124[#All],9,FALSE)</f>
        <v>contactp39@oppelia.fr</v>
      </c>
      <c r="K30" s="91" t="str">
        <f>VLOOKUP(Tableau12[[#This Row],[Colonne1]],Tableau124[#All],10,FALSE)</f>
        <v>03 84 24 66 83</v>
      </c>
      <c r="L30" s="305" t="str">
        <f>VLOOKUP(Tableau12[[#This Row],[Colonne1]],Tableau124[#All],11,FALSE)</f>
        <v>https://www.oppelia.fr/etablissement/passerelle-39-saint-claude/</v>
      </c>
      <c r="M30" s="222" t="str">
        <f>VLOOKUP(Tableau12[[#This Row],[Colonne1]],Tableau124[#All],12,FALSE)</f>
        <v>Mercredi : 9h à 12h30 - 13h30 à 18h</v>
      </c>
      <c r="N30" s="92" t="str">
        <f>VLOOKUP(Tableau12[[#This Row],[Colonne1]],Tableau124[#All],13,FALSE)</f>
        <v>- Accueil des jeunes ; 
- Accueil de la famille et l'entourage ; 
- Orientation sur rendez-vous ;</v>
      </c>
    </row>
    <row r="31" spans="1:14" ht="86.5" customHeight="1"/>
    <row r="32" spans="1:14" ht="86.5" customHeight="1"/>
    <row r="33" ht="86.5" customHeight="1"/>
    <row r="34" ht="86.5" customHeight="1"/>
    <row r="35" ht="86.5" customHeight="1"/>
    <row r="36" ht="86.5" customHeight="1"/>
    <row r="37" ht="86.5" customHeight="1"/>
    <row r="38" ht="86.5" customHeight="1"/>
    <row r="39" ht="86.5" customHeight="1"/>
    <row r="40" ht="86.5" customHeight="1"/>
  </sheetData>
  <mergeCells count="1">
    <mergeCell ref="C3:O3"/>
  </mergeCells>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2">
    <tabColor rgb="FFC39BE1"/>
  </sheetPr>
  <dimension ref="A1:O30"/>
  <sheetViews>
    <sheetView zoomScale="58" zoomScaleNormal="40" workbookViewId="0">
      <selection activeCell="A14" sqref="A14:XFD14"/>
    </sheetView>
  </sheetViews>
  <sheetFormatPr baseColWidth="10" defaultColWidth="10.54296875" defaultRowHeight="14.5"/>
  <cols>
    <col min="1" max="1" width="16.54296875" style="48" customWidth="1"/>
    <col min="2" max="2" width="13.26953125" style="1" customWidth="1"/>
    <col min="3" max="3" width="17.1796875" style="1" customWidth="1"/>
    <col min="4" max="4" width="46.26953125" style="1" customWidth="1"/>
    <col min="5" max="5" width="24.1796875" style="1" customWidth="1"/>
    <col min="6" max="6" width="21.453125" style="1" customWidth="1"/>
    <col min="7" max="7" width="29.453125" style="1" customWidth="1"/>
    <col min="8" max="8" width="24.26953125" style="1" customWidth="1"/>
    <col min="9" max="9" width="33.1796875" style="1" customWidth="1"/>
    <col min="10" max="10" width="20.453125" style="1" customWidth="1"/>
    <col min="11" max="11" width="33.1796875" style="1" customWidth="1"/>
    <col min="12" max="12" width="23.453125" style="1" customWidth="1"/>
    <col min="13" max="13" width="27.54296875" style="1" customWidth="1"/>
    <col min="14" max="14" width="35.7265625" style="1" customWidth="1"/>
    <col min="15" max="15" width="38.453125" style="1" hidden="1" customWidth="1"/>
    <col min="16" max="16384" width="10.54296875" style="1"/>
  </cols>
  <sheetData>
    <row r="1" spans="1:15" ht="57.65" customHeight="1">
      <c r="B1" s="48"/>
      <c r="C1" s="48"/>
      <c r="D1" s="48"/>
      <c r="E1" s="48"/>
      <c r="F1" s="48"/>
      <c r="G1" s="48"/>
      <c r="H1" s="48"/>
      <c r="I1" s="48"/>
      <c r="J1" s="48"/>
      <c r="K1" s="48"/>
      <c r="L1" s="48"/>
      <c r="M1" s="48"/>
      <c r="N1" s="48"/>
    </row>
    <row r="3" spans="1:15" ht="18.5">
      <c r="C3" s="618" t="s">
        <v>1015</v>
      </c>
      <c r="D3" s="618"/>
      <c r="E3" s="618"/>
      <c r="F3" s="618"/>
      <c r="G3" s="618"/>
      <c r="H3" s="618"/>
      <c r="I3" s="618"/>
      <c r="J3" s="618"/>
      <c r="K3" s="618"/>
      <c r="L3" s="618"/>
      <c r="M3" s="618"/>
      <c r="N3" s="618"/>
      <c r="O3" s="618"/>
    </row>
    <row r="5" spans="1:15" ht="34.5" customHeight="1">
      <c r="A5" s="49"/>
      <c r="B5" s="1" t="s">
        <v>1013</v>
      </c>
      <c r="C5" s="60" t="s">
        <v>18</v>
      </c>
      <c r="D5" s="60" t="s">
        <v>19</v>
      </c>
      <c r="E5" s="60" t="s">
        <v>20</v>
      </c>
      <c r="F5" s="60" t="s">
        <v>21</v>
      </c>
      <c r="G5" s="60" t="s">
        <v>22</v>
      </c>
      <c r="H5" s="60" t="s">
        <v>23</v>
      </c>
      <c r="I5" s="60" t="s">
        <v>24</v>
      </c>
      <c r="J5" s="60" t="s">
        <v>25</v>
      </c>
      <c r="K5" s="60" t="s">
        <v>26</v>
      </c>
      <c r="L5" s="60" t="s">
        <v>27</v>
      </c>
      <c r="M5" s="60" t="s">
        <v>28</v>
      </c>
      <c r="N5" s="146" t="s">
        <v>29</v>
      </c>
    </row>
    <row r="6" spans="1:15" ht="86.5" customHeight="1">
      <c r="B6" s="139">
        <v>142</v>
      </c>
      <c r="C6" s="120" t="str">
        <f>VLOOKUP(Tableau8[[#This Row],[Colonne1]],Tableau124[#All],2,FALSE)</f>
        <v>Nièvre (58)</v>
      </c>
      <c r="D6" s="192" t="str">
        <f>VLOOKUP(Tableau8[[#This Row],[Colonne1]],Tableau124[#All],3,FALSE)</f>
        <v>Champlemy</v>
      </c>
      <c r="E6" s="192" t="str">
        <f>VLOOKUP(Tableau8[[#This Row],[Colonne1]],Tableau124[#All],4,FALSE)</f>
        <v>58210</v>
      </c>
      <c r="F6" s="120" t="str">
        <f>VLOOKUP(Tableau8[[#This Row],[Colonne1]],Tableau124[#All],5,FALSE)</f>
        <v>Centre médical de la Vènerie, Lieu Dit La Vènerie</v>
      </c>
      <c r="G6" s="95" t="str">
        <f>VLOOKUP(Tableau8[[#This Row],[Colonne1]],Tableau124[#All],6,FALSE)</f>
        <v>SMRA</v>
      </c>
      <c r="H6" s="539" t="str">
        <f>VLOOKUP(Tableau8[[#This Row],[Colonne1]],Tableau124[#All],7,FALSE)</f>
        <v>VP SANTE</v>
      </c>
      <c r="I6" s="192" t="str">
        <f>VLOOKUP(Tableau8[[#This Row],[Colonne1]],Tableau124[#All],8,FALSE)</f>
        <v>Privé à but lucratif</v>
      </c>
      <c r="J6" s="285" t="str">
        <f>VLOOKUP(Tableau8[[#This Row],[Colonne1]],Tableau124[#All],9,FALSE)</f>
        <v>soins-admissions@lavenerie.fr</v>
      </c>
      <c r="K6" s="120" t="str">
        <f>VLOOKUP(Tableau8[[#This Row],[Colonne1]],Tableau124[#All],10,FALSE)</f>
        <v>03 86 69 50 00</v>
      </c>
      <c r="L6" s="274" t="str">
        <f>VLOOKUP(Tableau8[[#This Row],[Colonne1]],Tableau124[#All],11,FALSE)</f>
        <v xml:space="preserve"> </v>
      </c>
      <c r="M6" s="223" t="str">
        <f>VLOOKUP(Tableau8[[#This Row],[Colonne1]],Tableau124[#All],12,FALSE)</f>
        <v xml:space="preserve">du lundi au vendredi de 9h00  à 17h30 </v>
      </c>
      <c r="N6" s="415" t="str">
        <f>VLOOKUP(Tableau8[[#This Row],[Colonne1]],Tableau124[#All],13,FALSE)</f>
        <v xml:space="preserve">- intervention auprès d'un public majeur ; </v>
      </c>
    </row>
    <row r="7" spans="1:15" ht="86.5" customHeight="1">
      <c r="B7" s="139">
        <v>143</v>
      </c>
      <c r="C7" s="343" t="str">
        <f>VLOOKUP(Tableau8[[#This Row],[Colonne1]],Tableau124[#All],2,FALSE)</f>
        <v>Nièvre (58)</v>
      </c>
      <c r="D7" s="343" t="str">
        <f>VLOOKUP(Tableau8[[#This Row],[Colonne1]],Tableau124[#All],3,FALSE)</f>
        <v>Château-Chinon</v>
      </c>
      <c r="E7" s="343">
        <f>VLOOKUP(Tableau8[[#This Row],[Colonne1]],Tableau124[#All],4,FALSE)</f>
        <v>58120</v>
      </c>
      <c r="F7" s="343" t="str">
        <f>VLOOKUP(Tableau8[[#This Row],[Colonne1]],Tableau124[#All],5,FALSE)</f>
        <v>Maison Médicale, 38 rue Jean Marie Thévenin</v>
      </c>
      <c r="G7" s="343" t="str">
        <f>VLOOKUP(Tableau8[[#This Row],[Colonne1]],Tableau124[#All],6,FALSE)</f>
        <v>CJC</v>
      </c>
      <c r="H7" s="343" t="str">
        <f>VLOOKUP(Tableau8[[#This Row],[Colonne1]],Tableau124[#All],7,FALSE)</f>
        <v>CSAPA - Association Addictions France</v>
      </c>
      <c r="I7" s="343" t="str">
        <f>VLOOKUP(Tableau8[[#This Row],[Colonne1]],Tableau124[#All],8,FALSE)</f>
        <v>Associatif</v>
      </c>
      <c r="J7" s="345" t="str">
        <f>VLOOKUP(Tableau8[[#This Row],[Colonne1]],Tableau124[#All],9,FALSE)</f>
        <v>BFC58@Addictions-france.org</v>
      </c>
      <c r="K7" s="540" t="str">
        <f>VLOOKUP(Tableau8[[#This Row],[Colonne1]],Tableau124[#All],10,FALSE)</f>
        <v>04 86 61 56 89</v>
      </c>
      <c r="L7" s="432" t="str">
        <f>VLOOKUP(Tableau8[[#This Row],[Colonne1]],Tableau124[#All],11,FALSE)</f>
        <v xml:space="preserve"> </v>
      </c>
      <c r="M7" s="347" t="str">
        <f>VLOOKUP(Tableau8[[#This Row],[Colonne1]],Tableau124[#All],12,FALSE)</f>
        <v>Tous les mercredis de 8h30 à 12h30 et de 13h30 à 17h30</v>
      </c>
      <c r="N7" s="437" t="str">
        <f>VLOOKUP(Tableau8[[#This Row],[Colonne1]],Tableau124[#All],13,FALSE)</f>
        <v xml:space="preserve">- Accueil des familles ; 
- Orientation sur rendez-vous ;
- CJC accessible à la famille et l'entourage ; 
- locaux identiques à ceux du CSAPA. </v>
      </c>
    </row>
    <row r="8" spans="1:15" ht="86.5" customHeight="1">
      <c r="B8" s="139">
        <v>144</v>
      </c>
      <c r="C8" s="135" t="str">
        <f>VLOOKUP(Tableau8[[#This Row],[Colonne1]],Tableau124[#All],2,FALSE)</f>
        <v>Nièvre (58)</v>
      </c>
      <c r="D8" s="135" t="str">
        <f>VLOOKUP(Tableau8[[#This Row],[Colonne1]],Tableau124[#All],3,FALSE)</f>
        <v>Clamecy</v>
      </c>
      <c r="E8" s="135">
        <f>VLOOKUP(Tableau8[[#This Row],[Colonne1]],Tableau124[#All],4,FALSE)</f>
        <v>58500</v>
      </c>
      <c r="F8" s="135" t="str">
        <f>VLOOKUP(Tableau8[[#This Row],[Colonne1]],Tableau124[#All],5,FALSE)</f>
        <v>Centre de Périnatalité de Proximité de Clamecy, 14 Rte de Beaugy</v>
      </c>
      <c r="G8" s="135" t="str">
        <f>VLOOKUP(Tableau8[[#This Row],[Colonne1]],Tableau124[#All],6,FALSE)</f>
        <v>CSAPA (consultations avancées)</v>
      </c>
      <c r="H8" s="135" t="str">
        <f>VLOOKUP(Tableau8[[#This Row],[Colonne1]],Tableau124[#All],7,FALSE)</f>
        <v>CSAPA - Association Addictions France - consultations avancées - Centre de Périnatalité de Proximité de Clamecy</v>
      </c>
      <c r="I8" s="135" t="str">
        <f>VLOOKUP(Tableau8[[#This Row],[Colonne1]],Tableau124[#All],8,FALSE)</f>
        <v>Associatif</v>
      </c>
      <c r="J8" s="268" t="str">
        <f>VLOOKUP(Tableau8[[#This Row],[Colonne1]],Tableau124[#All],9,FALSE)</f>
        <v>BFC58@Addictions-france.org</v>
      </c>
      <c r="K8" s="526" t="s">
        <v>384</v>
      </c>
      <c r="L8" s="269" t="str">
        <f>VLOOKUP(Tableau8[[#This Row],[Colonne1]],Tableau124[#All],11,FALSE)</f>
        <v>www.addictions-france.org</v>
      </c>
      <c r="M8" s="100" t="str">
        <f>VLOOKUP(Tableau8[[#This Row],[Colonne1]],Tableau124[#All],12,FALSE)</f>
        <v>Le lundi, mardi, jeudi de 9h00 à 17h00 ; le mercredi de 9h00 à 18h00 ;le vendredi de 9h00 à 16h30.</v>
      </c>
      <c r="N8" s="248" t="str">
        <f>VLOOKUP(Tableau8[[#This Row],[Colonne1]],Tableau124[#All],13,FALSE)</f>
        <v>Réalisation de consultations avancées</v>
      </c>
    </row>
    <row r="9" spans="1:15" ht="86.5" customHeight="1">
      <c r="B9" s="139">
        <v>145</v>
      </c>
      <c r="C9" s="135" t="str">
        <f>VLOOKUP(Tableau8[[#This Row],[Colonne1]],Tableau124[#All],2,FALSE)</f>
        <v>Nièvre (58)</v>
      </c>
      <c r="D9" s="135" t="str">
        <f>VLOOKUP(Tableau8[[#This Row],[Colonne1]],Tableau124[#All],3,FALSE)</f>
        <v>Cosne-Cours-Sur-Loire</v>
      </c>
      <c r="E9" s="135">
        <f>VLOOKUP(Tableau8[[#This Row],[Colonne1]],Tableau124[#All],4,FALSE)</f>
        <v>58206</v>
      </c>
      <c r="F9" s="135" t="str">
        <f>VLOOKUP(Tableau8[[#This Row],[Colonne1]],Tableau124[#All],5,FALSE)</f>
        <v>Centre Hospitalier de Cosne-Cours-sur-Loire
96, rue Maréchal Leclerc</v>
      </c>
      <c r="G9" s="135" t="str">
        <f>VLOOKUP(Tableau8[[#This Row],[Colonne1]],Tableau124[#All],6,FALSE)</f>
        <v>CSAPA (consultations avancées)</v>
      </c>
      <c r="H9" s="135" t="str">
        <f>VLOOKUP(Tableau8[[#This Row],[Colonne1]],Tableau124[#All],7,FALSE)</f>
        <v xml:space="preserve">CSAPA - Association Addictions France - consultations avancées - Centre de Périnatalité de Proximité de Cosne sur Loire </v>
      </c>
      <c r="I9" s="135" t="str">
        <f>VLOOKUP(Tableau8[[#This Row],[Colonne1]],Tableau124[#All],8,FALSE)</f>
        <v>Associatif</v>
      </c>
      <c r="J9" s="268" t="str">
        <f>VLOOKUP(Tableau8[[#This Row],[Colonne1]],Tableau124[#All],9,FALSE)</f>
        <v>secretaire.cpp@hopital-cosne.fr</v>
      </c>
      <c r="K9" s="526" t="s">
        <v>384</v>
      </c>
      <c r="L9" s="268" t="str">
        <f>VLOOKUP(Tableau8[[#This Row],[Colonne1]],Tableau124[#All],11,FALSE)</f>
        <v>www.addictions-france.org</v>
      </c>
      <c r="M9" s="100" t="str">
        <f>VLOOKUP(Tableau8[[#This Row],[Colonne1]],Tableau124[#All],12,FALSE)</f>
        <v>Ouvert du lundi au vendredi
De 8h30 à 12h30 et de 13h30 à 17h30</v>
      </c>
      <c r="N9" s="245" t="str">
        <f>VLOOKUP(Tableau8[[#This Row],[Colonne1]],Tableau124[#All],13,FALSE)</f>
        <v>Réalisation de consultations avancées</v>
      </c>
    </row>
    <row r="10" spans="1:15" ht="86.5" customHeight="1">
      <c r="B10" s="139">
        <v>148</v>
      </c>
      <c r="C10" s="119" t="str">
        <f>VLOOKUP(Tableau8[[#This Row],[Colonne1]],Tableau124[#All],2,FALSE)</f>
        <v>Nièvre (58)</v>
      </c>
      <c r="D10" s="119" t="str">
        <f>VLOOKUP(Tableau8[[#This Row],[Colonne1]],Tableau124[#All],3,FALSE)</f>
        <v>Decize</v>
      </c>
      <c r="E10" s="119" t="str">
        <f>VLOOKUP(Tableau8[[#This Row],[Colonne1]],Tableau124[#All],4,FALSE)</f>
        <v>58300</v>
      </c>
      <c r="F10" s="121" t="str">
        <f>VLOOKUP(Tableau8[[#This Row],[Colonne1]],Tableau124[#All],5,FALSE)</f>
        <v>Centre Hospitalier 74 Route de Moulins, Dans plusieurs services</v>
      </c>
      <c r="G10" s="121" t="str">
        <f>VLOOKUP(Tableau8[[#This Row],[Colonne1]],Tableau124[#All],6,FALSE)</f>
        <v>ELSA</v>
      </c>
      <c r="H10" s="119" t="str">
        <f>VLOOKUP(Tableau8[[#This Row],[Colonne1]],Tableau124[#All],7,FALSE)</f>
        <v>CENTRE HOSPITALIER  DECIZE</v>
      </c>
      <c r="I10" s="119" t="str">
        <f>VLOOKUP(Tableau8[[#This Row],[Colonne1]],Tableau124[#All],8,FALSE)</f>
        <v>Public</v>
      </c>
      <c r="J10" s="276" t="str">
        <f>VLOOKUP(Tableau8[[#This Row],[Colonne1]],Tableau124[#All],9,FALSE)</f>
        <v>chde.ual@ght58.fr</v>
      </c>
      <c r="K10" s="119" t="str">
        <f>VLOOKUP(Tableau8[[#This Row],[Colonne1]],Tableau124[#All],10,FALSE)</f>
        <v>03 86 77 77 32</v>
      </c>
      <c r="L10" s="276" t="str">
        <f>VLOOKUP(Tableau8[[#This Row],[Colonne1]],Tableau124[#All],11,FALSE)</f>
        <v>www.ghtnievre.fr</v>
      </c>
      <c r="M10" s="215" t="str">
        <f>VLOOKUP(Tableau8[[#This Row],[Colonne1]],Tableau124[#All],12,FALSE)</f>
        <v xml:space="preserve"> </v>
      </c>
      <c r="N10" s="322" t="str">
        <f>VLOOKUP(Tableau8[[#This Row],[Colonne1]],Tableau124[#All],13,FALSE)</f>
        <v>- intervention auprès de public majeur ; 
- intervention dans les services de médecine - urgences - Centre de périnatalité de proximité - tous autres services demandeurs de l'établissement (SSR, surveillance continue, cardiologie, EHPAD...)</v>
      </c>
    </row>
    <row r="11" spans="1:15" ht="86.5" customHeight="1">
      <c r="B11" s="139">
        <v>146</v>
      </c>
      <c r="C11" s="104" t="str">
        <f>VLOOKUP(Tableau8[[#This Row],[Colonne1]],Tableau124[#All],2,FALSE)</f>
        <v>Nièvre (58)</v>
      </c>
      <c r="D11" s="104" t="str">
        <f>VLOOKUP(Tableau8[[#This Row],[Colonne1]],Tableau124[#All],3,FALSE)</f>
        <v>Decize</v>
      </c>
      <c r="E11" s="104" t="str">
        <f>VLOOKUP(Tableau8[[#This Row],[Colonne1]],Tableau124[#All],4,FALSE)</f>
        <v>58300</v>
      </c>
      <c r="F11" s="104" t="str">
        <f>VLOOKUP(Tableau8[[#This Row],[Colonne1]],Tableau124[#All],5,FALSE)</f>
        <v>Centre Hospitalier 74 Route de Moulins</v>
      </c>
      <c r="G11" s="104" t="str">
        <f>VLOOKUP(Tableau8[[#This Row],[Colonne1]],Tableau124[#All],6,FALSE)</f>
        <v>Consultations Hospitalières externes d'addictologie</v>
      </c>
      <c r="H11" s="104" t="str">
        <f>VLOOKUP(Tableau8[[#This Row],[Colonne1]],Tableau124[#All],7,FALSE)</f>
        <v>CENTRE HOSPITALIER  DECIZE</v>
      </c>
      <c r="I11" s="104" t="str">
        <f>VLOOKUP(Tableau8[[#This Row],[Colonne1]],Tableau124[#All],8,FALSE)</f>
        <v>Public</v>
      </c>
      <c r="J11" s="265" t="str">
        <f>VLOOKUP(Tableau8[[#This Row],[Colonne1]],Tableau124[#All],9,FALSE)</f>
        <v>chde.ual@ght58.fr</v>
      </c>
      <c r="K11" s="203" t="str">
        <f>VLOOKUP(Tableau8[[#This Row],[Colonne1]],Tableau124[#All],10,FALSE)</f>
        <v>03 86 77 77 32</v>
      </c>
      <c r="L11" s="265" t="str">
        <f>VLOOKUP(Tableau8[[#This Row],[Colonne1]],Tableau124[#All],11,FALSE)</f>
        <v>www.ghtnievre.fr</v>
      </c>
      <c r="M11" s="206" t="str">
        <f>VLOOKUP(Tableau8[[#This Row],[Colonne1]],Tableau124[#All],12,FALSE)</f>
        <v>Du lundi au vendredi de 9h à  17 h</v>
      </c>
      <c r="N11" s="321" t="str">
        <f>VLOOKUP(Tableau8[[#This Row],[Colonne1]],Tableau124[#All],13,FALSE)</f>
        <v>Intervention auprès de public majeurs</v>
      </c>
    </row>
    <row r="12" spans="1:15" ht="86.5" customHeight="1">
      <c r="B12" s="139">
        <v>149</v>
      </c>
      <c r="C12" s="93" t="str">
        <f>VLOOKUP(Tableau8[[#This Row],[Colonne1]],Tableau124[#All],2,FALSE)</f>
        <v>Nièvre (58)</v>
      </c>
      <c r="D12" s="93" t="str">
        <f>VLOOKUP(Tableau8[[#This Row],[Colonne1]],Tableau124[#All],3,FALSE)</f>
        <v>Decize</v>
      </c>
      <c r="E12" s="93">
        <f>VLOOKUP(Tableau8[[#This Row],[Colonne1]],Tableau124[#All],4,FALSE)</f>
        <v>58300</v>
      </c>
      <c r="F12" s="93" t="str">
        <f>VLOOKUP(Tableau8[[#This Row],[Colonne1]],Tableau124[#All],5,FALSE)</f>
        <v>Centre hospitalier - service de médecine D - 74 Route de Moulins</v>
      </c>
      <c r="G12" s="93" t="str">
        <f>VLOOKUP(Tableau8[[#This Row],[Colonne1]],Tableau124[#All],6,FALSE)</f>
        <v>Sevrage simple</v>
      </c>
      <c r="H12" s="93" t="str">
        <f>VLOOKUP(Tableau8[[#This Row],[Colonne1]],Tableau124[#All],7,FALSE)</f>
        <v>CENTRE HOSPITALIER  DECIZE</v>
      </c>
      <c r="I12" s="93" t="str">
        <f>VLOOKUP(Tableau8[[#This Row],[Colonne1]],Tableau124[#All],8,FALSE)</f>
        <v>Public</v>
      </c>
      <c r="J12" s="280" t="str">
        <f>VLOOKUP(Tableau8[[#This Row],[Colonne1]],Tableau124[#All],9,FALSE)</f>
        <v>ual@ch-decize.fr</v>
      </c>
      <c r="K12" s="185" t="str">
        <f>VLOOKUP(Tableau8[[#This Row],[Colonne1]],Tableau124[#All],10,FALSE)</f>
        <v>03 86 77 77 32</v>
      </c>
      <c r="L12" s="279" t="str">
        <f>VLOOKUP(Tableau8[[#This Row],[Colonne1]],Tableau124[#All],11,FALSE)</f>
        <v>www.ghtnievre.fr</v>
      </c>
      <c r="M12" s="215" t="str">
        <f>VLOOKUP(Tableau8[[#This Row],[Colonne1]],Tableau124[#All],12,FALSE)</f>
        <v xml:space="preserve"> </v>
      </c>
      <c r="N12" s="323" t="str">
        <f>VLOOKUP(Tableau8[[#This Row],[Colonne1]],Tableau124[#All],13,FALSE)</f>
        <v>- intervention auprès d'un public majeur ; 
- les lits sont intégrés dans le service de médecine à orientation gastroentérologique ; 
- unité de médecine D</v>
      </c>
    </row>
    <row r="13" spans="1:15" ht="86.5" customHeight="1">
      <c r="B13" s="139">
        <v>147</v>
      </c>
      <c r="C13" s="135" t="str">
        <f>VLOOKUP(Tableau8[[#This Row],[Colonne1]],Tableau124[#All],2,FALSE)</f>
        <v>Nièvre (58)</v>
      </c>
      <c r="D13" s="135" t="str">
        <f>VLOOKUP(Tableau8[[#This Row],[Colonne1]],Tableau124[#All],3,FALSE)</f>
        <v>Decize</v>
      </c>
      <c r="E13" s="135">
        <f>VLOOKUP(Tableau8[[#This Row],[Colonne1]],Tableau124[#All],4,FALSE)</f>
        <v>58300</v>
      </c>
      <c r="F13" s="135" t="str">
        <f>VLOOKUP(Tableau8[[#This Row],[Colonne1]],Tableau124[#All],5,FALSE)</f>
        <v>Centre de Périnatalité de Proximité de Decize, 74 Route de Moulins, BP 20065</v>
      </c>
      <c r="G13" s="135" t="str">
        <f>VLOOKUP(Tableau8[[#This Row],[Colonne1]],Tableau124[#All],6,FALSE)</f>
        <v>CSAPA (consultations avancées)</v>
      </c>
      <c r="H13" s="135" t="str">
        <f>VLOOKUP(Tableau8[[#This Row],[Colonne1]],Tableau124[#All],7,FALSE)</f>
        <v xml:space="preserve">CSAPA - Association Addictions France - consultations avancées - Centre de Périnatalité de Proximité de Decize </v>
      </c>
      <c r="I13" s="135" t="str">
        <f>VLOOKUP(Tableau8[[#This Row],[Colonne1]],Tableau124[#All],8,FALSE)</f>
        <v>Associatif</v>
      </c>
      <c r="J13" s="268" t="str">
        <f>VLOOKUP(Tableau8[[#This Row],[Colonne1]],Tableau124[#All],9,FALSE)</f>
        <v>BFC58@Addictions-france.org</v>
      </c>
      <c r="K13" s="331" t="s">
        <v>384</v>
      </c>
      <c r="L13" s="268" t="str">
        <f>VLOOKUP(Tableau8[[#This Row],[Colonne1]],Tableau124[#All],11,FALSE)</f>
        <v>www.addictions-france.org</v>
      </c>
      <c r="M13" s="100" t="str">
        <f>VLOOKUP(Tableau8[[#This Row],[Colonne1]],Tableau124[#All],12,FALSE)</f>
        <v>Du lundi au vendredi de 9h30 à 13h00 et de 14h30 à 17h00</v>
      </c>
      <c r="N13" s="248" t="str">
        <f>VLOOKUP(Tableau8[[#This Row],[Colonne1]],Tableau124[#All],13,FALSE)</f>
        <v>Réalisation de consultations avancées</v>
      </c>
    </row>
    <row r="14" spans="1:15" ht="86.5" customHeight="1">
      <c r="B14" s="139">
        <v>150</v>
      </c>
      <c r="C14" s="135" t="str">
        <f>VLOOKUP(Tableau8[[#This Row],[Colonne1]],Tableau124[#All],2,FALSE)</f>
        <v>Nièvre (58)</v>
      </c>
      <c r="D14" s="135" t="str">
        <f>VLOOKUP(Tableau8[[#This Row],[Colonne1]],Tableau124[#All],3,FALSE)</f>
        <v>Imphy</v>
      </c>
      <c r="E14" s="135">
        <f>VLOOKUP(Tableau8[[#This Row],[Colonne1]],Tableau124[#All],4,FALSE)</f>
        <v>58160</v>
      </c>
      <c r="F14" s="135" t="str">
        <f>VLOOKUP(Tableau8[[#This Row],[Colonne1]],Tableau124[#All],5,FALSE)</f>
        <v>CHRS -8 Rue Jean Sounié</v>
      </c>
      <c r="G14" s="135" t="str">
        <f>VLOOKUP(Tableau8[[#This Row],[Colonne1]],Tableau124[#All],6,FALSE)</f>
        <v>CSAPA (consultations avancées)</v>
      </c>
      <c r="H14" s="135" t="str">
        <f>VLOOKUP(Tableau8[[#This Row],[Colonne1]],Tableau124[#All],7,FALSE)</f>
        <v>CSAPA - Association Addictions France- consultations avancées</v>
      </c>
      <c r="I14" s="135" t="str">
        <f>VLOOKUP(Tableau8[[#This Row],[Colonne1]],Tableau124[#All],8,FALSE)</f>
        <v>Associatif</v>
      </c>
      <c r="J14" s="270" t="str">
        <f>VLOOKUP(Tableau8[[#This Row],[Colonne1]],Tableau124[#All],9,FALSE)</f>
        <v>BFC58@Addictions-france.org</v>
      </c>
      <c r="K14" s="211" t="str">
        <f>VLOOKUP(Tableau8[[#This Row],[Colonne1]],Tableau124[#All],10,FALSE)</f>
        <v>04 86 61 56 89</v>
      </c>
      <c r="L14" s="274" t="str">
        <f>VLOOKUP(Tableau8[[#This Row],[Colonne1]],Tableau124[#All],11,FALSE)</f>
        <v xml:space="preserve"> </v>
      </c>
      <c r="M14" s="186" t="str">
        <f>VLOOKUP(Tableau8[[#This Row],[Colonne1]],Tableau124[#All],12,FALSE)</f>
        <v>4ème vendredi de 9H00 A 12H00</v>
      </c>
      <c r="N14" s="324" t="str">
        <f>VLOOKUP(Tableau8[[#This Row],[Colonne1]],Tableau124[#All],13,FALSE)</f>
        <v>Réalisation de consultations avancées</v>
      </c>
    </row>
    <row r="15" spans="1:15" ht="86.5" customHeight="1">
      <c r="B15" s="139">
        <v>151</v>
      </c>
      <c r="C15" s="122" t="str">
        <f>VLOOKUP(Tableau8[[#This Row],[Colonne1]],Tableau124[#All],2,FALSE)</f>
        <v>Nièvre (58)</v>
      </c>
      <c r="D15" s="122" t="str">
        <f>VLOOKUP(Tableau8[[#This Row],[Colonne1]],Tableau124[#All],3,FALSE)</f>
        <v>La Charité-sur-Loire</v>
      </c>
      <c r="E15" s="122">
        <f>VLOOKUP(Tableau8[[#This Row],[Colonne1]],Tableau124[#All],4,FALSE)</f>
        <v>58400</v>
      </c>
      <c r="F15" s="122" t="str">
        <f>VLOOKUP(Tableau8[[#This Row],[Colonne1]],Tableau124[#All],5,FALSE)</f>
        <v>CH Pierre Lôo
51 rue des Hôtelleries</v>
      </c>
      <c r="G15" s="122" t="str">
        <f>VLOOKUP(Tableau8[[#This Row],[Colonne1]],Tableau124[#All],6,FALSE)</f>
        <v>Consultations Hospitalières externes d'addictologie</v>
      </c>
      <c r="H15" s="122" t="str">
        <f>VLOOKUP(Tableau8[[#This Row],[Colonne1]],Tableau124[#All],7,FALSE)</f>
        <v>CH Pierre Lôo</v>
      </c>
      <c r="I15" s="122" t="str">
        <f>VLOOKUP(Tableau8[[#This Row],[Colonne1]],Tableau124[#All],8,FALSE)</f>
        <v>Public</v>
      </c>
      <c r="J15" s="265" t="str">
        <f>VLOOKUP(Tableau8[[#This Row],[Colonne1]],Tableau124[#All],9,FALSE)</f>
        <v>chpl.direction.secretariat@ght58.fr</v>
      </c>
      <c r="K15" s="206">
        <f>VLOOKUP(Tableau8[[#This Row],[Colonne1]],Tableau124[#All],10,FALSE)</f>
        <v>0</v>
      </c>
      <c r="L15" s="319">
        <f>VLOOKUP(Tableau8[[#This Row],[Colonne1]],Tableau124[#All],11,FALSE)</f>
        <v>0</v>
      </c>
      <c r="M15" s="206">
        <f>VLOOKUP(Tableau8[[#This Row],[Colonne1]],Tableau124[#All],12,FALSE)</f>
        <v>0</v>
      </c>
      <c r="N15" s="327">
        <f>VLOOKUP(Tableau8[[#This Row],[Colonne1]],Tableau124[#All],13,FALSE)</f>
        <v>0</v>
      </c>
    </row>
    <row r="16" spans="1:15" ht="86.5" customHeight="1">
      <c r="B16" s="139">
        <v>152</v>
      </c>
      <c r="C16" s="93" t="str">
        <f>VLOOKUP(Tableau8[[#This Row],[Colonne1]],Tableau124[#All],2,FALSE)</f>
        <v>Nièvre (58)</v>
      </c>
      <c r="D16" s="93" t="str">
        <f>VLOOKUP(Tableau8[[#This Row],[Colonne1]],Tableau124[#All],3,FALSE)</f>
        <v>La Charité-sur-Loire</v>
      </c>
      <c r="E16" s="93">
        <f>VLOOKUP(Tableau8[[#This Row],[Colonne1]],Tableau124[#All],4,FALSE)</f>
        <v>58400</v>
      </c>
      <c r="F16" s="93" t="str">
        <f>VLOOKUP(Tableau8[[#This Row],[Colonne1]],Tableau124[#All],5,FALSE)</f>
        <v>CH Pierre Lôo
51 rue des Hôtelleries</v>
      </c>
      <c r="G16" s="93" t="str">
        <f>VLOOKUP(Tableau8[[#This Row],[Colonne1]],Tableau124[#All],6,FALSE)</f>
        <v xml:space="preserve">Sevrage simple </v>
      </c>
      <c r="H16" s="93" t="str">
        <f>VLOOKUP(Tableau8[[#This Row],[Colonne1]],Tableau124[#All],7,FALSE)</f>
        <v>CH Pierre Lôo</v>
      </c>
      <c r="I16" s="93" t="str">
        <f>VLOOKUP(Tableau8[[#This Row],[Colonne1]],Tableau124[#All],8,FALSE)</f>
        <v>Public</v>
      </c>
      <c r="J16" s="280" t="str">
        <f>VLOOKUP(Tableau8[[#This Row],[Colonne1]],Tableau124[#All],9,FALSE)</f>
        <v>chpl.direction.secretariat@ght58.fr</v>
      </c>
      <c r="K16" s="274"/>
      <c r="L16" s="274"/>
      <c r="M16" s="274"/>
      <c r="N16" s="433"/>
    </row>
    <row r="17" spans="1:14" ht="86.5" customHeight="1">
      <c r="B17" s="139">
        <v>153</v>
      </c>
      <c r="C17" s="171" t="str">
        <f>VLOOKUP(Tableau8[[#This Row],[Colonne1]],Tableau124[#All],2,FALSE)</f>
        <v>Nièvre (58)</v>
      </c>
      <c r="D17" s="171" t="str">
        <f>VLOOKUP(Tableau8[[#This Row],[Colonne1]],Tableau124[#All],3,FALSE)</f>
        <v>Nevers</v>
      </c>
      <c r="E17" s="171" t="str">
        <f>VLOOKUP(Tableau8[[#This Row],[Colonne1]],Tableau124[#All],4,FALSE)</f>
        <v>58000</v>
      </c>
      <c r="F17" s="171" t="str">
        <f>VLOOKUP(Tableau8[[#This Row],[Colonne1]],Tableau124[#All],5,FALSE)</f>
        <v>9 Rue Gambetta</v>
      </c>
      <c r="G17" s="171" t="str">
        <f>VLOOKUP(Tableau8[[#This Row],[Colonne1]],Tableau124[#All],6,FALSE)</f>
        <v>CAARUD</v>
      </c>
      <c r="H17" s="171" t="str">
        <f>VLOOKUP(Tableau8[[#This Row],[Colonne1]],Tableau124[#All],7,FALSE)</f>
        <v>CAARUD DE LA NIEVRE  Addictions France</v>
      </c>
      <c r="I17" s="171" t="str">
        <f>VLOOKUP(Tableau8[[#This Row],[Colonne1]],Tableau124[#All],8,FALSE)</f>
        <v>Associatif</v>
      </c>
      <c r="J17" s="298" t="str">
        <f>VLOOKUP(Tableau8[[#This Row],[Colonne1]],Tableau124[#All],9,FALSE)</f>
        <v>bfc58@addictions-france.org</v>
      </c>
      <c r="K17" s="210" t="str">
        <f>VLOOKUP(Tableau8[[#This Row],[Colonne1]],Tableau124[#All],10,FALSE)</f>
        <v>0386590948</v>
      </c>
      <c r="L17" s="298" t="str">
        <f>VLOOKUP(Tableau8[[#This Row],[Colonne1]],Tableau124[#All],11,FALSE)</f>
        <v>www.addictions-france.org</v>
      </c>
      <c r="M17" s="221" t="str">
        <f>VLOOKUP(Tableau8[[#This Row],[Colonne1]],Tableau124[#All],12,FALSE)</f>
        <v>Lundi de 13:00 à 17:00
Mardi de 13:00 à 17:00
Jeudi de 9:00 à 12:00 et de 13:00 à 17:00</v>
      </c>
      <c r="N17" s="542" t="str">
        <f>VLOOKUP(Tableau8[[#This Row],[Colonne1]],Tableau124[#All],13,FALSE)</f>
        <v xml:space="preserve">- intervention en maraude ;
- programme d'échange de seringues </v>
      </c>
    </row>
    <row r="18" spans="1:14" ht="86.5" customHeight="1">
      <c r="B18" s="139">
        <v>157</v>
      </c>
      <c r="C18" s="119" t="str">
        <f>VLOOKUP(Tableau8[[#This Row],[Colonne1]],Tableau124[#All],2,FALSE)</f>
        <v>Nièvre (58)</v>
      </c>
      <c r="D18" s="119" t="str">
        <f>VLOOKUP(Tableau8[[#This Row],[Colonne1]],Tableau124[#All],3,FALSE)</f>
        <v>Nevers</v>
      </c>
      <c r="E18" s="119" t="str">
        <f>VLOOKUP(Tableau8[[#This Row],[Colonne1]],Tableau124[#All],4,FALSE)</f>
        <v>58000</v>
      </c>
      <c r="F18" s="119" t="str">
        <f>VLOOKUP(Tableau8[[#This Row],[Colonne1]],Tableau124[#All],5,FALSE)</f>
        <v>Centre Hospitalier de l’Agglomération de Nevers, 1 avenue Patrick Guillot, Dans plusieurs services</v>
      </c>
      <c r="G18" s="121" t="str">
        <f>VLOOKUP(Tableau8[[#This Row],[Colonne1]],Tableau124[#All],6,FALSE)</f>
        <v>ELSA</v>
      </c>
      <c r="H18" s="119" t="str">
        <f>VLOOKUP(Tableau8[[#This Row],[Colonne1]],Tableau124[#All],7,FALSE)</f>
        <v>Centre Hospitalier de l’Agglomération de Nevers</v>
      </c>
      <c r="I18" s="119" t="str">
        <f>VLOOKUP(Tableau8[[#This Row],[Colonne1]],Tableau124[#All],8,FALSE)</f>
        <v>Public</v>
      </c>
      <c r="J18" s="276" t="str">
        <f>VLOOKUP(Tableau8[[#This Row],[Colonne1]],Tableau124[#All],9,FALSE)</f>
        <v>chan.addictologie@ght58.fr</v>
      </c>
      <c r="K18" s="178" t="str">
        <f>VLOOKUP(Tableau8[[#This Row],[Colonne1]],Tableau124[#All],10,FALSE)</f>
        <v>03 86 93 71 00</v>
      </c>
      <c r="L18" s="276" t="str">
        <f>VLOOKUP(Tableau8[[#This Row],[Colonne1]],Tableau124[#All],11,FALSE)</f>
        <v>www.ghtnievre.fr</v>
      </c>
      <c r="M18" s="215" t="str">
        <f>VLOOKUP(Tableau8[[#This Row],[Colonne1]],Tableau124[#All],12,FALSE)</f>
        <v xml:space="preserve"> </v>
      </c>
      <c r="N18" s="541" t="str">
        <f>VLOOKUP(Tableau8[[#This Row],[Colonne1]],Tableau124[#All],13,FALSE)</f>
        <v>Urgences, unité hospitalière de très courte durée
Hépato-gastro-entérologie, médecine infectieuse, chirurgie digestive, hôpital de jour
Cardiologie, urgences et soins intensifs de cardiologie, pneumologie
Néphrologie, hémodialyse, diabétologie, neurologie, VTH, médecine générale, hôpital de jour
Maternité
Intervention possible dans tous les services du CHAN</v>
      </c>
    </row>
    <row r="19" spans="1:14" ht="86.5" customHeight="1">
      <c r="B19" s="139">
        <v>155</v>
      </c>
      <c r="C19" s="181" t="str">
        <f>VLOOKUP(Tableau8[[#This Row],[Colonne1]],Tableau124[#All],2,FALSE)</f>
        <v>Nièvre (58)</v>
      </c>
      <c r="D19" s="181" t="str">
        <f>VLOOKUP(Tableau8[[#This Row],[Colonne1]],Tableau124[#All],3,FALSE)</f>
        <v>Nevers</v>
      </c>
      <c r="E19" s="181" t="str">
        <f>VLOOKUP(Tableau8[[#This Row],[Colonne1]],Tableau124[#All],4,FALSE)</f>
        <v>58000</v>
      </c>
      <c r="F19" s="181" t="str">
        <f>VLOOKUP(Tableau8[[#This Row],[Colonne1]],Tableau124[#All],5,FALSE)</f>
        <v>1 avenue Patrick Guillot</v>
      </c>
      <c r="G19" s="181" t="str">
        <f>VLOOKUP(Tableau8[[#This Row],[Colonne1]],Tableau124[#All],6,FALSE)</f>
        <v>Consultations Hospitalières externes d'addictologie</v>
      </c>
      <c r="H19" s="181" t="str">
        <f>VLOOKUP(Tableau8[[#This Row],[Colonne1]],Tableau124[#All],7,FALSE)</f>
        <v>Centre Hospitalier de l’Agglomération de Nevers</v>
      </c>
      <c r="I19" s="181" t="str">
        <f>VLOOKUP(Tableau8[[#This Row],[Colonne1]],Tableau124[#All],8,FALSE)</f>
        <v>Public</v>
      </c>
      <c r="J19" s="265" t="str">
        <f>VLOOKUP(Tableau8[[#This Row],[Colonne1]],Tableau124[#All],9,FALSE)</f>
        <v>chan.addictologie@ght58.fr</v>
      </c>
      <c r="K19" s="200" t="str">
        <f>VLOOKUP(Tableau8[[#This Row],[Colonne1]],Tableau124[#All],10,FALSE)</f>
        <v>03 86 93 71 00</v>
      </c>
      <c r="L19" s="264" t="str">
        <f>VLOOKUP(Tableau8[[#This Row],[Colonne1]],Tableau124[#All],11,FALSE)</f>
        <v>www.ghtnievre.fr</v>
      </c>
      <c r="M19" s="122" t="str">
        <f>VLOOKUP(Tableau8[[#This Row],[Colonne1]],Tableau124[#All],12,FALSE)</f>
        <v>Lundi au vendredi de 9h à 17h</v>
      </c>
      <c r="N19" s="122" t="str">
        <f>VLOOKUP(Tableau8[[#This Row],[Colonne1]],Tableau124[#All],13,FALSE)</f>
        <v xml:space="preserve">Intervention auprès de public majeurs </v>
      </c>
    </row>
    <row r="20" spans="1:14" ht="86.5" customHeight="1">
      <c r="B20" s="139">
        <v>158</v>
      </c>
      <c r="C20" s="93" t="str">
        <f>VLOOKUP(Tableau8[[#This Row],[Colonne1]],Tableau124[#All],2,FALSE)</f>
        <v>Nièvre (58)</v>
      </c>
      <c r="D20" s="93" t="str">
        <f>VLOOKUP(Tableau8[[#This Row],[Colonne1]],Tableau124[#All],3,FALSE)</f>
        <v>Nevers</v>
      </c>
      <c r="E20" s="93" t="str">
        <f>VLOOKUP(Tableau8[[#This Row],[Colonne1]],Tableau124[#All],4,FALSE)</f>
        <v>58000</v>
      </c>
      <c r="F20" s="93" t="str">
        <f>VLOOKUP(Tableau8[[#This Row],[Colonne1]],Tableau124[#All],5,FALSE)</f>
        <v>1 avenue Patrick Guillot</v>
      </c>
      <c r="G20" s="93" t="str">
        <f>VLOOKUP(Tableau8[[#This Row],[Colonne1]],Tableau124[#All],6,FALSE)</f>
        <v>Sevrage simple</v>
      </c>
      <c r="H20" s="93" t="str">
        <f>VLOOKUP(Tableau8[[#This Row],[Colonne1]],Tableau124[#All],7,FALSE)</f>
        <v>Centre Hospitalier de l’Agglomération de Nevers</v>
      </c>
      <c r="I20" s="93" t="str">
        <f>VLOOKUP(Tableau8[[#This Row],[Colonne1]],Tableau124[#All],8,FALSE)</f>
        <v>Public</v>
      </c>
      <c r="J20" s="280" t="str">
        <f>VLOOKUP(Tableau8[[#This Row],[Colonne1]],Tableau124[#All],9,FALSE)</f>
        <v>chan.addictologie@ght58.fr</v>
      </c>
      <c r="K20" s="193" t="str">
        <f>VLOOKUP(Tableau8[[#This Row],[Colonne1]],Tableau124[#All],10,FALSE)</f>
        <v>03 86 93 71 00</v>
      </c>
      <c r="L20" s="320" t="str">
        <f>VLOOKUP(Tableau8[[#This Row],[Colonne1]],Tableau124[#All],11,FALSE)</f>
        <v>www.ghtnievre.fr</v>
      </c>
      <c r="M20" s="224" t="str">
        <f>VLOOKUP(Tableau8[[#This Row],[Colonne1]],Tableau124[#All],12,FALSE)</f>
        <v>www.ghtnievre.fr</v>
      </c>
      <c r="N20" s="244" t="str">
        <f>VLOOKUP(Tableau8[[#This Row],[Colonne1]],Tableau124[#All],13,FALSE)</f>
        <v xml:space="preserve">- intervention auprès d'un public majeur ;
- aucun lit dédié mais sevrage possible au cas par cas. </v>
      </c>
    </row>
    <row r="21" spans="1:14" ht="86.5" customHeight="1">
      <c r="B21" s="139">
        <v>156</v>
      </c>
      <c r="C21" s="135" t="str">
        <f>VLOOKUP(Tableau8[[#This Row],[Colonne1]],Tableau124[#All],2,FALSE)</f>
        <v>Nièvre (58)</v>
      </c>
      <c r="D21" s="135" t="str">
        <f>VLOOKUP(Tableau8[[#This Row],[Colonne1]],Tableau124[#All],3,FALSE)</f>
        <v>Nevers</v>
      </c>
      <c r="E21" s="135" t="str">
        <f>VLOOKUP(Tableau8[[#This Row],[Colonne1]],Tableau124[#All],4,FALSE)</f>
        <v>58000</v>
      </c>
      <c r="F21" s="135" t="str">
        <f>VLOOKUP(Tableau8[[#This Row],[Colonne1]],Tableau124[#All],5,FALSE)</f>
        <v xml:space="preserve"> 11 Rue Bovet -2ème Etage </v>
      </c>
      <c r="G21" s="135" t="str">
        <f>VLOOKUP(Tableau8[[#This Row],[Colonne1]],Tableau124[#All],6,FALSE)</f>
        <v>CSAPA</v>
      </c>
      <c r="H21" s="135" t="str">
        <f>VLOOKUP(Tableau8[[#This Row],[Colonne1]],Tableau124[#All],7,FALSE)</f>
        <v>CSAPA - Association Addictions France</v>
      </c>
      <c r="I21" s="135" t="str">
        <f>VLOOKUP(Tableau8[[#This Row],[Colonne1]],Tableau124[#All],8,FALSE)</f>
        <v>Associatif</v>
      </c>
      <c r="J21" s="268" t="str">
        <f>VLOOKUP(Tableau8[[#This Row],[Colonne1]],Tableau124[#All],9,FALSE)</f>
        <v>BFC58@Addictions-france.org</v>
      </c>
      <c r="K21" s="205" t="str">
        <f>VLOOKUP(Tableau8[[#This Row],[Colonne1]],Tableau124[#All],10,FALSE)</f>
        <v>03 86 61 56 89</v>
      </c>
      <c r="L21" s="274" t="str">
        <f>VLOOKUP(Tableau8[[#This Row],[Colonne1]],Tableau124[#All],11,FALSE)</f>
        <v xml:space="preserve"> </v>
      </c>
      <c r="M21" s="100" t="str">
        <f>VLOOKUP(Tableau8[[#This Row],[Colonne1]],Tableau124[#All],12,FALSE)</f>
        <v>Du Lundi Au Mercredi : De 8H30 A 12H30 et de 13H30 A 18H00
Le jeudi : De 8H30 A 12H30 et de 13H30 A 17H30
Le Vendredi : De 8H30 A 12H30 et de 13H30 A 17H00</v>
      </c>
      <c r="N21" s="326" t="str">
        <f>VLOOKUP(Tableau8[[#This Row],[Colonne1]],Tableau124[#All],13,FALSE)</f>
        <v>- Réalisation de consultations avancées sur Imphy ;
- intervention en milieu pénitentiaire à la Maison d'arrêt de Nevers ;
- mise à disposition de matériel de consommation à moindre risque ;
- proposition de test rapide d'orientation diagnostic (TROD) ; 
- dispositifs anti-overdose à disposition ; 
- présence d'une CJC.</v>
      </c>
    </row>
    <row r="22" spans="1:14" ht="86.5" customHeight="1">
      <c r="B22" s="139">
        <v>154</v>
      </c>
      <c r="C22" s="343" t="str">
        <f>VLOOKUP(Tableau8[[#This Row],[Colonne1]],Tableau124[#All],2,FALSE)</f>
        <v>Nièvre (58)</v>
      </c>
      <c r="D22" s="343" t="str">
        <f>VLOOKUP(Tableau8[[#This Row],[Colonne1]],Tableau124[#All],3,FALSE)</f>
        <v>Nevers</v>
      </c>
      <c r="E22" s="343" t="str">
        <f>VLOOKUP(Tableau8[[#This Row],[Colonne1]],Tableau124[#All],4,FALSE)</f>
        <v>58000</v>
      </c>
      <c r="F22" s="343" t="str">
        <f>VLOOKUP(Tableau8[[#This Row],[Colonne1]],Tableau124[#All],5,FALSE)</f>
        <v xml:space="preserve"> 11 Rue Bovet -2ème Etage </v>
      </c>
      <c r="G22" s="343" t="str">
        <f>VLOOKUP(Tableau8[[#This Row],[Colonne1]],Tableau124[#All],6,FALSE)</f>
        <v>CJC</v>
      </c>
      <c r="H22" s="343" t="str">
        <f>VLOOKUP(Tableau8[[#This Row],[Colonne1]],Tableau124[#All],7,FALSE)</f>
        <v>CSAPA - Association Addictions France</v>
      </c>
      <c r="I22" s="343" t="str">
        <f>VLOOKUP(Tableau8[[#This Row],[Colonne1]],Tableau124[#All],8,FALSE)</f>
        <v>Associatif</v>
      </c>
      <c r="J22" s="345" t="str">
        <f>VLOOKUP(Tableau8[[#This Row],[Colonne1]],Tableau124[#All],9,FALSE)</f>
        <v>BFC58@Addictions-france.org</v>
      </c>
      <c r="K22" s="431" t="str">
        <f>VLOOKUP(Tableau8[[#This Row],[Colonne1]],Tableau124[#All],10,FALSE)</f>
        <v>03 86 61 56 89</v>
      </c>
      <c r="L22" s="366">
        <f>VLOOKUP(Tableau8[[#This Row],[Colonne1]],Tableau124[#All],11,FALSE)</f>
        <v>0</v>
      </c>
      <c r="M22" s="367" t="str">
        <f>VLOOKUP(Tableau8[[#This Row],[Colonne1]],Tableau124[#All],12,FALSE)</f>
        <v>Du Lundi au Mercredi - 8H30 A 12H30 et de 13H30 A 18H00
Le jeudi : de 13H30 A 17H30
Le vendredi : de 13H30 A 16H30</v>
      </c>
      <c r="N22" s="368" t="str">
        <f>VLOOKUP(Tableau8[[#This Row],[Colonne1]],Tableau124[#All],13,FALSE)</f>
        <v xml:space="preserve">- Accueil des familles ; 
- Orientation sur rendez-vous ;
- CJC accessible à la famille et l'entourage ; 
- locaux identiques à ceux du CSAPA. </v>
      </c>
    </row>
    <row r="23" spans="1:14" s="160" customFormat="1" ht="250.5" customHeight="1">
      <c r="A23" s="159"/>
      <c r="B23" s="157">
        <v>159</v>
      </c>
      <c r="C23" s="135" t="str">
        <f>VLOOKUP(Tableau8[[#This Row],[Colonne1]],Tableau124[#All],2,FALSE)</f>
        <v>Nièvre (58)</v>
      </c>
      <c r="D23" s="135" t="str">
        <f>VLOOKUP(Tableau8[[#This Row],[Colonne1]],Tableau124[#All],3,FALSE)</f>
        <v>Tannay</v>
      </c>
      <c r="E23" s="135" t="str">
        <f>VLOOKUP(Tableau8[[#This Row],[Colonne1]],Tableau124[#All],4,FALSE)</f>
        <v>58000</v>
      </c>
      <c r="F23" s="135" t="str">
        <f>VLOOKUP(Tableau8[[#This Row],[Colonne1]],Tableau124[#All],5,FALSE)</f>
        <v>8 Place Charles Chaigneau</v>
      </c>
      <c r="G23" s="135" t="str">
        <f>VLOOKUP(Tableau8[[#This Row],[Colonne1]],Tableau124[#All],6,FALSE)</f>
        <v>Antenne CSAPA</v>
      </c>
      <c r="H23" s="135" t="str">
        <f>VLOOKUP(Tableau8[[#This Row],[Colonne1]],Tableau124[#All],7,FALSE)</f>
        <v>CSAPA - Association Addictions France</v>
      </c>
      <c r="I23" s="135" t="str">
        <f>VLOOKUP(Tableau8[[#This Row],[Colonne1]],Tableau124[#All],8,FALSE)</f>
        <v>Associatif</v>
      </c>
      <c r="J23" s="269" t="str">
        <f>VLOOKUP(Tableau8[[#This Row],[Colonne1]],Tableau124[#All],9,FALSE)</f>
        <v>bfc58@addictions-france.org</v>
      </c>
      <c r="K23" s="199" t="str">
        <f>VLOOKUP(Tableau8[[#This Row],[Colonne1]],Tableau124[#All],10,FALSE)</f>
        <v>03 86 61 56 89</v>
      </c>
      <c r="L23" s="273" t="str">
        <f>VLOOKUP(Tableau8[[#This Row],[Colonne1]],Tableau124[#All],11,FALSE)</f>
        <v xml:space="preserve"> </v>
      </c>
      <c r="M23" s="96" t="str">
        <f>VLOOKUP(Tableau8[[#This Row],[Colonne1]],Tableau124[#All],12,FALSE)</f>
        <v>Mardi, Jeudi, Vendredi : 8h30 – 12h30 / 13h30 – 17h</v>
      </c>
      <c r="N23" s="216" t="str">
        <f>VLOOKUP(Tableau8[[#This Row],[Colonne1]],Tableau124[#All],13,FALSE)</f>
        <v xml:space="preserve">  </v>
      </c>
    </row>
    <row r="24" spans="1:14" ht="86.5" customHeight="1"/>
    <row r="25" spans="1:14" ht="86.5" customHeight="1"/>
    <row r="26" spans="1:14" ht="86.5" customHeight="1"/>
    <row r="27" spans="1:14" ht="86.5" customHeight="1"/>
    <row r="28" spans="1:14" ht="86.5" customHeight="1"/>
    <row r="29" spans="1:14" ht="86.5" customHeight="1"/>
    <row r="30" spans="1:14" ht="86.5" customHeight="1"/>
  </sheetData>
  <mergeCells count="1">
    <mergeCell ref="C3:O3"/>
  </mergeCell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3">
    <tabColor rgb="FFC39BE1"/>
  </sheetPr>
  <dimension ref="A1:O43"/>
  <sheetViews>
    <sheetView zoomScale="55" zoomScaleNormal="40" workbookViewId="0">
      <selection activeCell="A25" sqref="A25:XFD25"/>
    </sheetView>
  </sheetViews>
  <sheetFormatPr baseColWidth="10" defaultColWidth="10.54296875" defaultRowHeight="14.5"/>
  <cols>
    <col min="1" max="1" width="16.54296875" style="48" customWidth="1"/>
    <col min="2" max="2" width="16.54296875" customWidth="1"/>
    <col min="3" max="3" width="16.453125" style="1" customWidth="1"/>
    <col min="4" max="4" width="36.26953125" style="1" customWidth="1"/>
    <col min="5" max="5" width="24.1796875" style="1" customWidth="1"/>
    <col min="6" max="6" width="32.54296875" style="1" customWidth="1"/>
    <col min="7" max="7" width="29.453125" style="1" customWidth="1"/>
    <col min="8" max="8" width="19.1796875" style="1" customWidth="1"/>
    <col min="9" max="9" width="33.1796875" style="1" customWidth="1"/>
    <col min="10" max="10" width="20.453125" style="1" customWidth="1"/>
    <col min="11" max="11" width="26.453125" style="1" customWidth="1"/>
    <col min="12" max="12" width="23.453125" style="1" customWidth="1"/>
    <col min="13" max="13" width="16.54296875" style="1" customWidth="1"/>
    <col min="14" max="14" width="28.26953125" style="1" customWidth="1"/>
    <col min="15" max="15" width="34.1796875" style="1" hidden="1" customWidth="1"/>
    <col min="16" max="16384" width="10.54296875" style="1"/>
  </cols>
  <sheetData>
    <row r="1" spans="1:15" ht="57.65" customHeight="1">
      <c r="B1" s="143"/>
      <c r="C1" s="48"/>
      <c r="D1" s="48"/>
      <c r="E1" s="48"/>
      <c r="F1" s="48"/>
      <c r="G1" s="48"/>
      <c r="H1" s="48"/>
      <c r="I1" s="48"/>
      <c r="J1" s="48"/>
      <c r="K1" s="48"/>
      <c r="L1" s="48"/>
      <c r="M1" s="48"/>
      <c r="N1" s="48"/>
    </row>
    <row r="3" spans="1:15" ht="18.5">
      <c r="C3" s="618" t="s">
        <v>1016</v>
      </c>
      <c r="D3" s="618"/>
      <c r="E3" s="618"/>
      <c r="F3" s="618"/>
      <c r="G3" s="618"/>
      <c r="H3" s="618"/>
      <c r="I3" s="618"/>
      <c r="J3" s="618"/>
      <c r="K3" s="618"/>
      <c r="L3" s="618"/>
      <c r="M3" s="618"/>
      <c r="N3" s="618"/>
      <c r="O3" s="618"/>
    </row>
    <row r="5" spans="1:15">
      <c r="A5" s="49"/>
      <c r="B5" s="23" t="s">
        <v>1013</v>
      </c>
      <c r="C5" s="22" t="s">
        <v>18</v>
      </c>
      <c r="D5" s="23" t="s">
        <v>19</v>
      </c>
      <c r="E5" s="23" t="s">
        <v>20</v>
      </c>
      <c r="F5" s="23" t="s">
        <v>21</v>
      </c>
      <c r="G5" s="23" t="s">
        <v>22</v>
      </c>
      <c r="H5" s="23" t="s">
        <v>23</v>
      </c>
      <c r="I5" s="23" t="s">
        <v>24</v>
      </c>
      <c r="J5" s="23" t="s">
        <v>25</v>
      </c>
      <c r="K5" s="23" t="s">
        <v>26</v>
      </c>
      <c r="L5" s="23" t="s">
        <v>27</v>
      </c>
      <c r="M5" s="23" t="s">
        <v>28</v>
      </c>
      <c r="N5" s="24" t="s">
        <v>29</v>
      </c>
    </row>
    <row r="6" spans="1:15" ht="86.5" customHeight="1">
      <c r="B6" s="139">
        <v>46</v>
      </c>
      <c r="C6" s="135" t="str">
        <f>VLOOKUP(Tableau11[[#This Row],[Colonne1]],Tableau124[#All],2,FALSE)</f>
        <v>Doubs (25)</v>
      </c>
      <c r="D6" s="135" t="str">
        <f>VLOOKUP(Tableau11[[#This Row],[Colonne1]],Tableau124[#All],3,FALSE)</f>
        <v>Baumes Les Dames</v>
      </c>
      <c r="E6" s="135">
        <f>VLOOKUP(Tableau11[[#This Row],[Colonne1]],Tableau124[#All],4,FALSE)</f>
        <v>25110</v>
      </c>
      <c r="F6" s="135" t="str">
        <f>VLOOKUP(Tableau11[[#This Row],[Colonne1]],Tableau124[#All],5,FALSE)</f>
        <v>CMS Baumes les Dames, 2 rue des Frères Grenier</v>
      </c>
      <c r="G6" s="135" t="str">
        <f>VLOOKUP(Tableau11[[#This Row],[Colonne1]],Tableau124[#All],6,FALSE)</f>
        <v>CSAPA (consultations avancées)</v>
      </c>
      <c r="H6" s="135" t="str">
        <f>VLOOKUP(Tableau11[[#This Row],[Colonne1]],Tableau124[#All],7,FALSE)</f>
        <v>CSAPA de Besançon - Association Addictions France - consultations avancées</v>
      </c>
      <c r="I6" s="135" t="str">
        <f>VLOOKUP(Tableau11[[#This Row],[Colonne1]],Tableau124[#All],8,FALSE)</f>
        <v>Associatif</v>
      </c>
      <c r="J6" s="269" t="str">
        <f>VLOOKUP(Tableau11[[#This Row],[Colonne1]],Tableau124[#All],9,FALSE)</f>
        <v>csapa.besancon@addictions-france.org</v>
      </c>
      <c r="K6" s="199" t="str">
        <f>VLOOKUP(Tableau11[[#This Row],[Colonne1]],Tableau124[#All],10,FALSE)</f>
        <v>03.81.83.22.79</v>
      </c>
      <c r="L6" s="269" t="str">
        <f>VLOOKUP(Tableau11[[#This Row],[Colonne1]],Tableau124[#All],11,FALSE)</f>
        <v>www.addictions-france.org</v>
      </c>
      <c r="M6" s="96" t="str">
        <f>VLOOKUP(Tableau11[[#This Row],[Colonne1]],Tableau124[#All],12,FALSE)</f>
        <v>Un mardi toute les trois semaines de 9h à 12h et de 13h30 à 17h</v>
      </c>
      <c r="N6" s="220" t="str">
        <f>VLOOKUP(Tableau11[[#This Row],[Colonne1]],Tableau124[#All],13,FALSE)</f>
        <v>Réalisation de consultations avancées</v>
      </c>
    </row>
    <row r="7" spans="1:15" ht="86.5" customHeight="1">
      <c r="B7" s="139">
        <v>47</v>
      </c>
      <c r="C7" s="119" t="str">
        <f>VLOOKUP(Tableau11[[#This Row],[Colonne1]],Tableau124[#All],2,FALSE)</f>
        <v>Doubs (25)</v>
      </c>
      <c r="D7" s="119" t="str">
        <f>VLOOKUP(Tableau11[[#This Row],[Colonne1]],Tableau124[#All],3,FALSE)</f>
        <v>Besancon</v>
      </c>
      <c r="E7" s="119" t="str">
        <f>VLOOKUP(Tableau11[[#This Row],[Colonne1]],Tableau124[#All],4,FALSE)</f>
        <v>25000</v>
      </c>
      <c r="F7" s="119" t="str">
        <f>VLOOKUP(Tableau11[[#This Row],[Colonne1]],Tableau124[#All],5,FALSE)</f>
        <v>CHU BESANCON/</v>
      </c>
      <c r="G7" s="121" t="str">
        <f>VLOOKUP(Tableau11[[#This Row],[Colonne1]],Tableau124[#All],6,FALSE)</f>
        <v>ELSA</v>
      </c>
      <c r="H7" s="119" t="str">
        <f>VLOOKUP(Tableau11[[#This Row],[Colonne1]],Tableau124[#All],7,FALSE)</f>
        <v>CHU BESANCON/ CH NOVILLARS</v>
      </c>
      <c r="I7" s="119" t="str">
        <f>VLOOKUP(Tableau11[[#This Row],[Colonne1]],Tableau124[#All],8,FALSE)</f>
        <v>Public</v>
      </c>
      <c r="J7" s="277" t="str">
        <f>VLOOKUP(Tableau11[[#This Row],[Colonne1]],Tableau124[#All],9,FALSE)</f>
        <v>addictologie-secret@chu-besancon.fr</v>
      </c>
      <c r="K7" s="310" t="str">
        <f>VLOOKUP(Tableau11[[#This Row],[Colonne1]],Tableau124[#All],10,FALSE)</f>
        <v>03-81-21-90-08</v>
      </c>
      <c r="L7" s="277" t="str">
        <f>VLOOKUP(Tableau11[[#This Row],[Colonne1]],Tableau124[#All],11,FALSE)</f>
        <v>www.chu-besancon.fr</v>
      </c>
      <c r="M7" s="216" t="str">
        <f>VLOOKUP(Tableau11[[#This Row],[Colonne1]],Tableau124[#All],12,FALSE)</f>
        <v xml:space="preserve">  </v>
      </c>
      <c r="N7" s="249" t="str">
        <f>VLOOKUP(Tableau11[[#This Row],[Colonne1]],Tableau124[#All],13,FALSE)</f>
        <v xml:space="preserve">- intervention auprès de public majeur ; 
- intervention au CHU :Services d'urgences du CHU : SAU, urgences traumatologiques,  urgences psychiatriques et dans tous les services de médecine, chirurgie, obstétrique et de psychiatrie. 
- interventions au CH Novillars dans les services intra hospitaliers de psychiatrie
</v>
      </c>
    </row>
    <row r="8" spans="1:15" ht="86.5" customHeight="1">
      <c r="B8" s="139">
        <v>48</v>
      </c>
      <c r="C8" s="171" t="str">
        <f>VLOOKUP(Tableau11[[#This Row],[Colonne1]],Tableau124[#All],2,FALSE)</f>
        <v>Doubs (25)</v>
      </c>
      <c r="D8" s="171" t="str">
        <f>VLOOKUP(Tableau11[[#This Row],[Colonne1]],Tableau124[#All],3,FALSE)</f>
        <v>Besançon</v>
      </c>
      <c r="E8" s="171" t="str">
        <f>VLOOKUP(Tableau11[[#This Row],[Colonne1]],Tableau124[#All],4,FALSE)</f>
        <v>25000</v>
      </c>
      <c r="F8" s="171" t="str">
        <f>VLOOKUP(Tableau11[[#This Row],[Colonne1]],Tableau124[#All],5,FALSE)</f>
        <v>2 avenue Fontaine Argent</v>
      </c>
      <c r="G8" s="171" t="str">
        <f>VLOOKUP(Tableau11[[#This Row],[Colonne1]],Tableau124[#All],6,FALSE)</f>
        <v>CAARUD</v>
      </c>
      <c r="H8" s="171" t="str">
        <f>VLOOKUP(Tableau11[[#This Row],[Colonne1]],Tableau124[#All],7,FALSE)</f>
        <v>AIDeS CAARUD25</v>
      </c>
      <c r="I8" s="171" t="str">
        <f>VLOOKUP(Tableau11[[#This Row],[Colonne1]],Tableau124[#All],8,FALSE)</f>
        <v>Associatif</v>
      </c>
      <c r="J8" s="297" t="str">
        <f>VLOOKUP(Tableau11[[#This Row],[Colonne1]],Tableau124[#All],9,FALSE)</f>
        <v>delegation25@aides.org</v>
      </c>
      <c r="K8" s="201" t="str">
        <f>VLOOKUP(Tableau11[[#This Row],[Colonne1]],Tableau124[#All],10,FALSE)</f>
        <v>03 81 81 80 00</v>
      </c>
      <c r="L8" s="297" t="str">
        <f>VLOOKUP(Tableau11[[#This Row],[Colonne1]],Tableau124[#All],11,FALSE)</f>
        <v>aides.org</v>
      </c>
      <c r="M8" s="172" t="str">
        <f>VLOOKUP(Tableau11[[#This Row],[Colonne1]],Tableau124[#All],12,FALSE)</f>
        <v>Lundi, mercredi, vendredi de 14h00 à 18h00.</v>
      </c>
      <c r="N8" s="239" t="str">
        <f>VLOOKUP(Tableau11[[#This Row],[Colonne1]],Tableau124[#All],13,FALSE)</f>
        <v xml:space="preserve">- unité mobile pouvant servir de lieu d'accueil (déplacement sur Bensançon, Baume les Dames, Clerval, Morteau et Pontarlier) ; 
- programme d'échange de seringues ;
- intervention en maraude ; 
- intervention en milieu festif. </v>
      </c>
    </row>
    <row r="9" spans="1:15" ht="86.5" customHeight="1">
      <c r="B9" s="139">
        <v>49</v>
      </c>
      <c r="C9" s="180" t="str">
        <f>VLOOKUP(Tableau11[[#This Row],[Colonne1]],Tableau124[#All],2,FALSE)</f>
        <v>Doubs (25)</v>
      </c>
      <c r="D9" s="180" t="str">
        <f>VLOOKUP(Tableau11[[#This Row],[Colonne1]],Tableau124[#All],3,FALSE)</f>
        <v>Besançon</v>
      </c>
      <c r="E9" s="180">
        <f>VLOOKUP(Tableau11[[#This Row],[Colonne1]],Tableau124[#All],4,FALSE)</f>
        <v>25000</v>
      </c>
      <c r="F9" s="180" t="str">
        <f>VLOOKUP(Tableau11[[#This Row],[Colonne1]],Tableau124[#All],5,FALSE)</f>
        <v xml:space="preserve">11 rue d'Alsace </v>
      </c>
      <c r="G9" s="180" t="str">
        <f>VLOOKUP(Tableau11[[#This Row],[Colonne1]],Tableau124[#All],6,FALSE)</f>
        <v>CJC</v>
      </c>
      <c r="H9" s="180" t="str">
        <f>VLOOKUP(Tableau11[[#This Row],[Colonne1]],Tableau124[#All],7,FALSE)</f>
        <v>CSAPA de Besançon - Association Addictions France</v>
      </c>
      <c r="I9" s="180" t="str">
        <f>VLOOKUP(Tableau11[[#This Row],[Colonne1]],Tableau124[#All],8,FALSE)</f>
        <v>Associatif</v>
      </c>
      <c r="J9" s="305" t="str">
        <f>VLOOKUP(Tableau11[[#This Row],[Colonne1]],Tableau124[#All],9,FALSE)</f>
        <v>csapa.besancon@addictions-france.org</v>
      </c>
      <c r="K9" s="202" t="str">
        <f>VLOOKUP(Tableau11[[#This Row],[Colonne1]],Tableau124[#All],10,FALSE)</f>
        <v>03.81.83.22.74</v>
      </c>
      <c r="L9" s="305" t="str">
        <f>VLOOKUP(Tableau11[[#This Row],[Colonne1]],Tableau124[#All],11,FALSE)</f>
        <v>www.addictions-france.org</v>
      </c>
      <c r="M9" s="218" t="str">
        <f>VLOOKUP(Tableau11[[#This Row],[Colonne1]],Tableau124[#All],12,FALSE)</f>
        <v xml:space="preserve">Mardi de 9h à 20h, mercredi /jeudi de 9h à 18h, vendredi de 9h à 13h &gt; A MODIFIER </v>
      </c>
      <c r="N9" s="240" t="str">
        <f>VLOOKUP(Tableau11[[#This Row],[Colonne1]],Tableau124[#All],13,FALSE)</f>
        <v>- Accueil des familles ; 
- Orientation avec et sans rendez-vous ;
- CJC accessible à la famille et l'entourage ; 
Nous portons le dispositif TAPAJ</v>
      </c>
    </row>
    <row r="10" spans="1:15" ht="86.5" customHeight="1">
      <c r="B10" s="139">
        <v>51</v>
      </c>
      <c r="C10" s="104" t="str">
        <f>VLOOKUP(Tableau11[[#This Row],[Colonne1]],Tableau124[#All],2,FALSE)</f>
        <v>Doubs (25)</v>
      </c>
      <c r="D10" s="104" t="str">
        <f>VLOOKUP(Tableau11[[#This Row],[Colonne1]],Tableau124[#All],3,FALSE)</f>
        <v>Besançon</v>
      </c>
      <c r="E10" s="104" t="str">
        <f>VLOOKUP(Tableau11[[#This Row],[Colonne1]],Tableau124[#All],4,FALSE)</f>
        <v>25000</v>
      </c>
      <c r="F10" s="122" t="str">
        <f>VLOOKUP(Tableau11[[#This Row],[Colonne1]],Tableau124[#All],5,FALSE)</f>
        <v>Site Minjoz, 3 Boulevard ALexandre Fleming</v>
      </c>
      <c r="G10" s="104" t="str">
        <f>VLOOKUP(Tableau11[[#This Row],[Colonne1]],Tableau124[#All],6,FALSE)</f>
        <v>Consultations Hospitalières externes d'addictologie</v>
      </c>
      <c r="H10" s="122" t="str">
        <f>VLOOKUP(Tableau11[[#This Row],[Colonne1]],Tableau124[#All],7,FALSE)</f>
        <v>CHU Besançon</v>
      </c>
      <c r="I10" s="122" t="str">
        <f>VLOOKUP(Tableau11[[#This Row],[Colonne1]],Tableau124[#All],8,FALSE)</f>
        <v xml:space="preserve">Public </v>
      </c>
      <c r="J10" s="266"/>
      <c r="K10" s="266"/>
      <c r="L10" s="266"/>
      <c r="M10" s="122">
        <f>VLOOKUP(Tableau11[[#This Row],[Colonne1]],Tableau124[#All],12,FALSE)</f>
        <v>0</v>
      </c>
      <c r="N10" s="122" t="str">
        <f>VLOOKUP(Tableau11[[#This Row],[Colonne1]],Tableau124[#All],13,FALSE)</f>
        <v>Consultation spécialisée dans les addictions comportementales</v>
      </c>
    </row>
    <row r="11" spans="1:15" ht="86.5" customHeight="1">
      <c r="B11" s="139">
        <v>53</v>
      </c>
      <c r="C11" s="135" t="str">
        <f>VLOOKUP(Tableau11[[#This Row],[Colonne1]],Tableau124[#All],2,FALSE)</f>
        <v>Doubs (25)</v>
      </c>
      <c r="D11" s="135" t="str">
        <f>VLOOKUP(Tableau11[[#This Row],[Colonne1]],Tableau124[#All],3,FALSE)</f>
        <v>Besançon</v>
      </c>
      <c r="E11" s="135" t="str">
        <f>VLOOKUP(Tableau11[[#This Row],[Colonne1]],Tableau124[#All],4,FALSE)</f>
        <v>25000</v>
      </c>
      <c r="F11" s="135" t="str">
        <f>VLOOKUP(Tableau11[[#This Row],[Colonne1]],Tableau124[#All],5,FALSE)</f>
        <v>11 rue d'Alsace</v>
      </c>
      <c r="G11" s="135" t="str">
        <f>VLOOKUP(Tableau11[[#This Row],[Colonne1]],Tableau124[#All],6,FALSE)</f>
        <v>CSAPA</v>
      </c>
      <c r="H11" s="135" t="str">
        <f>VLOOKUP(Tableau11[[#This Row],[Colonne1]],Tableau124[#All],7,FALSE)</f>
        <v>CSAPA de Besançon - Association Addictions France</v>
      </c>
      <c r="I11" s="135" t="str">
        <f>VLOOKUP(Tableau11[[#This Row],[Colonne1]],Tableau124[#All],8,FALSE)</f>
        <v>Associatif</v>
      </c>
      <c r="J11" s="269" t="str">
        <f>VLOOKUP(Tableau11[[#This Row],[Colonne1]],Tableau124[#All],9,FALSE)</f>
        <v>csapa.besancon@addictions-france.org</v>
      </c>
      <c r="K11" s="199" t="str">
        <f>VLOOKUP(Tableau11[[#This Row],[Colonne1]],Tableau124[#All],10,FALSE)</f>
        <v>03.81.83.22.74</v>
      </c>
      <c r="L11" s="269" t="str">
        <f>VLOOKUP(Tableau11[[#This Row],[Colonne1]],Tableau124[#All],11,FALSE)</f>
        <v>www.addictions-france.org</v>
      </c>
      <c r="M11" s="96" t="str">
        <f>VLOOKUP(Tableau11[[#This Row],[Colonne1]],Tableau124[#All],12,FALSE)</f>
        <v>Lundi (9h/12h - 13h/16h30), Mardi (9h/12h - 13h/17h), Mercredi (9h/12h - 13h/17h), Jeudi (9h/12h - 13h/17h), Vendredi (14h30/16h)</v>
      </c>
      <c r="N11" s="241" t="str">
        <f>VLOOKUP(Tableau11[[#This Row],[Colonne1]],Tableau124[#All],13,FALSE)</f>
        <v>- Réalisation de consultations avancées sur Pontarlier, Morteau, Quingey, Chalezeule, Baumes les Dames et Besançon multi-sites ; 
- présence d'une CJC.</v>
      </c>
    </row>
    <row r="12" spans="1:15" ht="86.5" customHeight="1">
      <c r="B12" s="139">
        <v>54</v>
      </c>
      <c r="C12" s="135" t="str">
        <f>VLOOKUP(Tableau11[[#This Row],[Colonne1]],Tableau124[#All],2,FALSE)</f>
        <v>Doubs (25)</v>
      </c>
      <c r="D12" s="135" t="str">
        <f>VLOOKUP(Tableau11[[#This Row],[Colonne1]],Tableau124[#All],3,FALSE)</f>
        <v>Besançon</v>
      </c>
      <c r="E12" s="135" t="str">
        <f>VLOOKUP(Tableau11[[#This Row],[Colonne1]],Tableau124[#All],4,FALSE)</f>
        <v>25000</v>
      </c>
      <c r="F12" s="135" t="str">
        <f>VLOOKUP(Tableau11[[#This Row],[Colonne1]],Tableau124[#All],5,FALSE)</f>
        <v>2 place René Payot</v>
      </c>
      <c r="G12" s="135" t="str">
        <f>VLOOKUP(Tableau11[[#This Row],[Colonne1]],Tableau124[#All],6,FALSE)</f>
        <v>CSAPA</v>
      </c>
      <c r="H12" s="135" t="str">
        <f>VLOOKUP(Tableau11[[#This Row],[Colonne1]],Tableau124[#All],7,FALSE)</f>
        <v>CSAPA SOLEA</v>
      </c>
      <c r="I12" s="135" t="str">
        <f>VLOOKUP(Tableau11[[#This Row],[Colonne1]],Tableau124[#All],8,FALSE)</f>
        <v>Associatif</v>
      </c>
      <c r="J12" s="269" t="str">
        <f>VLOOKUP(Tableau11[[#This Row],[Colonne1]],Tableau124[#All],9,FALSE)</f>
        <v>solea@addsea.fr</v>
      </c>
      <c r="K12" s="199" t="str">
        <f>VLOOKUP(Tableau11[[#This Row],[Colonne1]],Tableau124[#All],10,FALSE)</f>
        <v>0381830332</v>
      </c>
      <c r="L12" s="416" t="str">
        <f>VLOOKUP(Tableau11[[#This Row],[Colonne1]],Tableau124[#All],11,FALSE)</f>
        <v xml:space="preserve">solea.addsea.fr </v>
      </c>
      <c r="M12" s="96" t="str">
        <f>VLOOKUP(Tableau11[[#This Row],[Colonne1]],Tableau124[#All],12,FALSE)</f>
        <v>9h à 16h, fermeture les mardi après midi</v>
      </c>
      <c r="N12" s="241" t="str">
        <f>VLOOKUP(Tableau11[[#This Row],[Colonne1]],Tableau124[#All],13,FALSE)</f>
        <v>- Réalisation de consultations avancées sur Ornans, Valdahon, l'Isle-sur-le-Doubs ;
- Dispositif de soin résidentiel sous forme d'appartement relais à Besançon ;
- intervention en milieu festif ;
- Intervention en milieu pénitentiaire à la maison d'arrêt de Besançon et en centre de semi liberté ;
- mise à disposition de matériel de consommation à moindre risque ;
- dispositifs anti-overdose ;
- porteur d'une CJC.</v>
      </c>
    </row>
    <row r="13" spans="1:15" ht="86.5" customHeight="1">
      <c r="B13" s="139">
        <v>244</v>
      </c>
      <c r="C13" s="135" t="str">
        <f>VLOOKUP(Tableau11[[#This Row],[Colonne1]],Tableau124[#All],2,FALSE)</f>
        <v>Doubs (25)</v>
      </c>
      <c r="D13" s="135" t="str">
        <f>VLOOKUP(Tableau11[[#This Row],[Colonne1]],Tableau124[#All],3,FALSE)</f>
        <v>Besançon</v>
      </c>
      <c r="E13" s="135" t="str">
        <f>VLOOKUP(Tableau11[[#This Row],[Colonne1]],Tableau124[#All],4,FALSE)</f>
        <v>25000</v>
      </c>
      <c r="F13" s="135" t="str">
        <f>VLOOKUP(Tableau11[[#This Row],[Colonne1]],Tableau124[#All],5,FALSE)</f>
        <v xml:space="preserve">3 Rue Victor SELLIER </v>
      </c>
      <c r="G13" s="135" t="str">
        <f>VLOOKUP(Tableau11[[#This Row],[Colonne1]],Tableau124[#All],6,FALSE)</f>
        <v>EMA (équipe mobile en addictologie)</v>
      </c>
      <c r="H13" s="135" t="str">
        <f>VLOOKUP(Tableau11[[#This Row],[Colonne1]],Tableau124[#All],7,FALSE)</f>
        <v>CSAPA SOLEA - ADDSEA Bourgogne Franche Comté</v>
      </c>
      <c r="I13" s="135" t="str">
        <f>VLOOKUP(Tableau11[[#This Row],[Colonne1]],Tableau124[#All],8,FALSE)</f>
        <v>Associatif</v>
      </c>
      <c r="J13" s="544" t="str">
        <f>VLOOKUP(Tableau11[[#This Row],[Colonne1]],Tableau124[#All],9,FALSE)</f>
        <v>ema.doubs@gmail.com</v>
      </c>
      <c r="K13" s="204" t="str">
        <f>VLOOKUP(Tableau11[[#This Row],[Colonne1]],Tableau124[#All],10,FALSE)</f>
        <v>0381801217</v>
      </c>
      <c r="L13" s="266"/>
      <c r="M13" s="135" t="str">
        <f>VLOOKUP(Tableau11[[#This Row],[Colonne1]],Tableau124[#All],12,FALSE)</f>
        <v>lundi mardi après midi (14h 17h) et mercredi et jeudi toute la journée</v>
      </c>
      <c r="N13" s="135" t="str">
        <f>VLOOKUP(Tableau11[[#This Row],[Colonne1]],Tableau124[#All],13,FALSE)</f>
        <v xml:space="preserve">évaluation orientation, maraud travail de rue, visite à domicile et accompagnement physique vers le droit commun et les structure en addictologie, évaluation sociale psychologique et infirmière/orientation </v>
      </c>
    </row>
    <row r="14" spans="1:15" ht="86.5" customHeight="1">
      <c r="B14" s="139">
        <v>52</v>
      </c>
      <c r="C14" s="135" t="str">
        <f>VLOOKUP(Tableau11[[#This Row],[Colonne1]],Tableau124[#All],2,FALSE)</f>
        <v>Doubs (25)</v>
      </c>
      <c r="D14" s="135" t="str">
        <f>VLOOKUP(Tableau11[[#This Row],[Colonne1]],Tableau124[#All],3,FALSE)</f>
        <v>Besançon</v>
      </c>
      <c r="E14" s="135" t="str">
        <f>VLOOKUP(Tableau11[[#This Row],[Colonne1]],Tableau124[#All],4,FALSE)</f>
        <v>25000</v>
      </c>
      <c r="F14" s="135" t="str">
        <f>VLOOKUP(Tableau11[[#This Row],[Colonne1]],Tableau124[#All],5,FALSE)</f>
        <v>3 RUE CHAMPROND BP 181</v>
      </c>
      <c r="G14" s="135" t="str">
        <f>VLOOKUP(Tableau11[[#This Row],[Colonne1]],Tableau124[#All],6,FALSE)</f>
        <v>CSAPA (consultations avancées)</v>
      </c>
      <c r="H14" s="96" t="str">
        <f>VLOOKUP(Tableau11[[#This Row],[Colonne1]],Tableau124[#All],7,FALSE)</f>
        <v xml:space="preserve"> Boutique Jeanne Antide - CSAPA SOLEA</v>
      </c>
      <c r="I14" s="96" t="str">
        <f>VLOOKUP(Tableau11[[#This Row],[Colonne1]],Tableau124[#All],8,FALSE)</f>
        <v xml:space="preserve">Associatif </v>
      </c>
      <c r="J14" s="269" t="str">
        <f>VLOOKUP(Tableau11[[#This Row],[Colonne1]],Tableau124[#All],9,FALSE)</f>
        <v>solea@addsea.fr</v>
      </c>
      <c r="K14" s="405" t="str">
        <f>VLOOKUP(Tableau11[[#This Row],[Colonne1]],Tableau124[#All],10,FALSE)</f>
        <v>03 01 83 03 32</v>
      </c>
      <c r="L14" s="269" t="str">
        <f>VLOOKUP(Tableau11[[#This Row],[Colonne1]],Tableau124[#All],11,FALSE)</f>
        <v>addsea.fr</v>
      </c>
      <c r="M14" s="96" t="str">
        <f>VLOOKUP(Tableau11[[#This Row],[Colonne1]],Tableau124[#All],12,FALSE)</f>
        <v>Sur calendrier (vendredi matin)</v>
      </c>
      <c r="N14" s="96" t="str">
        <f>VLOOKUP(Tableau11[[#This Row],[Colonne1]],Tableau124[#All],13,FALSE)</f>
        <v xml:space="preserve"> </v>
      </c>
    </row>
    <row r="15" spans="1:15" ht="86.5" customHeight="1">
      <c r="B15" s="139">
        <v>58</v>
      </c>
      <c r="C15" s="135" t="str">
        <f>VLOOKUP(Tableau11[[#This Row],[Colonne1]],Tableau124[#All],2,FALSE)</f>
        <v>Doubs (25)</v>
      </c>
      <c r="D15" s="135" t="str">
        <f>VLOOKUP(Tableau11[[#This Row],[Colonne1]],Tableau124[#All],3,FALSE)</f>
        <v>Besançon</v>
      </c>
      <c r="E15" s="135">
        <f>VLOOKUP(Tableau11[[#This Row],[Colonne1]],Tableau124[#All],4,FALSE)</f>
        <v>25000</v>
      </c>
      <c r="F15" s="135" t="str">
        <f>VLOOKUP(Tableau11[[#This Row],[Colonne1]],Tableau124[#All],5,FALSE)</f>
        <v>Maison d'arrêt de Besançon, rue Pergaud</v>
      </c>
      <c r="G15" s="135" t="str">
        <f>VLOOKUP(Tableau11[[#This Row],[Colonne1]],Tableau124[#All],6,FALSE)</f>
        <v>CSAPA (consultations avancées)</v>
      </c>
      <c r="H15" s="135" t="str">
        <f>VLOOKUP(Tableau11[[#This Row],[Colonne1]],Tableau124[#All],7,FALSE)</f>
        <v>CSAPA SOLEA</v>
      </c>
      <c r="I15" s="135" t="str">
        <f>VLOOKUP(Tableau11[[#This Row],[Colonne1]],Tableau124[#All],8,FALSE)</f>
        <v>Associatif</v>
      </c>
      <c r="J15" s="272" t="str">
        <f>VLOOKUP(Tableau11[[#This Row],[Colonne1]],Tableau124[#All],9,FALSE)</f>
        <v>csapa.besancon@addictions-france.org</v>
      </c>
      <c r="K15" s="204" t="str">
        <f>VLOOKUP(Tableau11[[#This Row],[Colonne1]],Tableau124[#All],10,FALSE)</f>
        <v>03.81.83.22.81</v>
      </c>
      <c r="L15" s="272" t="str">
        <f>VLOOKUP(Tableau11[[#This Row],[Colonne1]],Tableau124[#All],11,FALSE)</f>
        <v>www.addictions-france.org</v>
      </c>
      <c r="M15" s="135" t="str">
        <f>VLOOKUP(Tableau11[[#This Row],[Colonne1]],Tableau124[#All],12,FALSE)</f>
        <v xml:space="preserve">Lundi et jeudi après-midi / mercredi matin </v>
      </c>
      <c r="N15" s="135" t="str">
        <f>VLOOKUP(Tableau11[[#This Row],[Colonne1]],Tableau124[#All],13,FALSE)</f>
        <v>Réalisation de consultations avancées</v>
      </c>
    </row>
    <row r="16" spans="1:15" ht="86.5" customHeight="1">
      <c r="B16" s="139">
        <v>50</v>
      </c>
      <c r="C16" s="180" t="str">
        <f>VLOOKUP(Tableau11[[#This Row],[Colonne1]],Tableau124[#All],2,FALSE)</f>
        <v>Doubs (25)</v>
      </c>
      <c r="D16" s="180" t="str">
        <f>VLOOKUP(Tableau11[[#This Row],[Colonne1]],Tableau124[#All],3,FALSE)</f>
        <v>Besançon</v>
      </c>
      <c r="E16" s="180" t="str">
        <f>VLOOKUP(Tableau11[[#This Row],[Colonne1]],Tableau124[#All],4,FALSE)</f>
        <v>25000</v>
      </c>
      <c r="F16" s="180" t="str">
        <f>VLOOKUP(Tableau11[[#This Row],[Colonne1]],Tableau124[#All],5,FALSE)</f>
        <v xml:space="preserve">3 Rue Victor SELLIER </v>
      </c>
      <c r="G16" s="180" t="str">
        <f>VLOOKUP(Tableau11[[#This Row],[Colonne1]],Tableau124[#All],6,FALSE)</f>
        <v>CJC</v>
      </c>
      <c r="H16" s="180" t="str">
        <f>VLOOKUP(Tableau11[[#This Row],[Colonne1]],Tableau124[#All],7,FALSE)</f>
        <v>CSAPA SOLEA - ADDSEA Bourgogne Franche Comté</v>
      </c>
      <c r="I16" s="180" t="str">
        <f>VLOOKUP(Tableau11[[#This Row],[Colonne1]],Tableau124[#All],8,FALSE)</f>
        <v>Associatif</v>
      </c>
      <c r="J16" s="305" t="str">
        <f>VLOOKUP(Tableau11[[#This Row],[Colonne1]],Tableau124[#All],9,FALSE)</f>
        <v>solea-bis@addsea.fr</v>
      </c>
      <c r="K16" s="202" t="str">
        <f>VLOOKUP(Tableau11[[#This Row],[Colonne1]],Tableau124[#All],10,FALSE)</f>
        <v>0381801217</v>
      </c>
      <c r="L16" s="266" t="str">
        <f>VLOOKUP(Tableau11[[#This Row],[Colonne1]],Tableau124[#All],11,FALSE)</f>
        <v xml:space="preserve"> </v>
      </c>
      <c r="M16" s="218" t="str">
        <f>VLOOKUP(Tableau11[[#This Row],[Colonne1]],Tableau124[#All],12,FALSE)</f>
        <v>fermé le lundi, 
mardi 9h/20h, mercredi 
jeudi 9h/18h
vendredi 9h/13h</v>
      </c>
      <c r="N16" s="240" t="str">
        <f>VLOOKUP(Tableau11[[#This Row],[Colonne1]],Tableau124[#All],13,FALSE)</f>
        <v xml:space="preserve">- Accueil des familles ; 
- Orientation sur rendez-vous ;
- CJC accessible à la famille et l'entourage ; 
Intervention a la Boutique Jeanne Antide (solea)
 EMA (Equipe Mobile en Addictologie)
Nous portons le dispositif TAPAJ &gt; centre de soins et non CJC &gt; concerne solea </v>
      </c>
    </row>
    <row r="17" spans="2:14" ht="86.5" customHeight="1">
      <c r="B17" s="139">
        <v>55</v>
      </c>
      <c r="C17" s="190" t="str">
        <f>VLOOKUP(Tableau11[[#This Row],[Colonne1]],Tableau124[#All],2,FALSE)</f>
        <v>Doubs (25)</v>
      </c>
      <c r="D17" s="135" t="str">
        <f>VLOOKUP(Tableau11[[#This Row],[Colonne1]],Tableau124[#All],3,FALSE)</f>
        <v>Besançon</v>
      </c>
      <c r="E17" s="135">
        <f>VLOOKUP(Tableau11[[#This Row],[Colonne1]],Tableau124[#All],4,FALSE)</f>
        <v>25000</v>
      </c>
      <c r="F17" s="135" t="str">
        <f>VLOOKUP(Tableau11[[#This Row],[Colonne1]],Tableau124[#All],5,FALSE)</f>
        <v>SAAS, 10 rue Champrond</v>
      </c>
      <c r="G17" s="135" t="str">
        <f>VLOOKUP(Tableau11[[#This Row],[Colonne1]],Tableau124[#All],6,FALSE)</f>
        <v>CSAPA (consultations avancées)</v>
      </c>
      <c r="H17" s="135" t="str">
        <f>VLOOKUP(Tableau11[[#This Row],[Colonne1]],Tableau124[#All],7,FALSE)</f>
        <v>CSAPA de Besançon - Association Addictions France - consultations avancées</v>
      </c>
      <c r="I17" s="135" t="str">
        <f>VLOOKUP(Tableau11[[#This Row],[Colonne1]],Tableau124[#All],8,FALSE)</f>
        <v>Associatif</v>
      </c>
      <c r="J17" s="269" t="str">
        <f>VLOOKUP(Tableau11[[#This Row],[Colonne1]],Tableau124[#All],9,FALSE)</f>
        <v>csapa.besancon@addictions-france.org</v>
      </c>
      <c r="K17" s="199" t="str">
        <f>VLOOKUP(Tableau11[[#This Row],[Colonne1]],Tableau124[#All],10,FALSE)</f>
        <v>03.81.83.22.83</v>
      </c>
      <c r="L17" s="269" t="str">
        <f>VLOOKUP(Tableau11[[#This Row],[Colonne1]],Tableau124[#All],11,FALSE)</f>
        <v>www.addictions-france.org</v>
      </c>
      <c r="M17" s="96" t="str">
        <f>VLOOKUP(Tableau11[[#This Row],[Colonne1]],Tableau124[#All],12,FALSE)</f>
        <v>Vendredi de 9h à 11h30</v>
      </c>
      <c r="N17" s="245" t="str">
        <f>VLOOKUP(Tableau11[[#This Row],[Colonne1]],Tableau124[#All],13,FALSE)</f>
        <v>Réalisation de consultations avancées</v>
      </c>
    </row>
    <row r="18" spans="2:14" ht="86.5" customHeight="1">
      <c r="B18" s="139">
        <v>56</v>
      </c>
      <c r="C18" s="135" t="str">
        <f>VLOOKUP(Tableau11[[#This Row],[Colonne1]],Tableau124[#All],2,FALSE)</f>
        <v>Doubs (25)</v>
      </c>
      <c r="D18" s="135" t="str">
        <f>VLOOKUP(Tableau11[[#This Row],[Colonne1]],Tableau124[#All],3,FALSE)</f>
        <v>Besançon</v>
      </c>
      <c r="E18" s="135">
        <f>VLOOKUP(Tableau11[[#This Row],[Colonne1]],Tableau124[#All],4,FALSE)</f>
        <v>25000</v>
      </c>
      <c r="F18" s="135" t="str">
        <f>VLOOKUP(Tableau11[[#This Row],[Colonne1]],Tableau124[#All],5,FALSE)</f>
        <v>Boutique Jeanne Antide, 3 rue Champrond</v>
      </c>
      <c r="G18" s="135" t="str">
        <f>VLOOKUP(Tableau11[[#This Row],[Colonne1]],Tableau124[#All],6,FALSE)</f>
        <v>CSAPA (consultations avancées)</v>
      </c>
      <c r="H18" s="135" t="str">
        <f>VLOOKUP(Tableau11[[#This Row],[Colonne1]],Tableau124[#All],7,FALSE)</f>
        <v>CSAPA de Besançon - Association Addictions France - consultations avancées</v>
      </c>
      <c r="I18" s="135" t="str">
        <f>VLOOKUP(Tableau11[[#This Row],[Colonne1]],Tableau124[#All],8,FALSE)</f>
        <v>Associatif</v>
      </c>
      <c r="J18" s="269" t="str">
        <f>VLOOKUP(Tableau11[[#This Row],[Colonne1]],Tableau124[#All],9,FALSE)</f>
        <v>csapa.besancon@addictions-france.org</v>
      </c>
      <c r="K18" s="199" t="str">
        <f>VLOOKUP(Tableau11[[#This Row],[Colonne1]],Tableau124[#All],10,FALSE)</f>
        <v>03.81.83.22.84</v>
      </c>
      <c r="L18" s="269" t="str">
        <f>VLOOKUP(Tableau11[[#This Row],[Colonne1]],Tableau124[#All],11,FALSE)</f>
        <v>www.addictions-france.org</v>
      </c>
      <c r="M18" s="96" t="str">
        <f>VLOOKUP(Tableau11[[#This Row],[Colonne1]],Tableau124[#All],12,FALSE)</f>
        <v>Mardi de 10h30 à 11h30</v>
      </c>
      <c r="N18" s="96" t="str">
        <f>VLOOKUP(Tableau11[[#This Row],[Colonne1]],Tableau124[#All],13,FALSE)</f>
        <v>Réalisation de consultations avancées</v>
      </c>
    </row>
    <row r="19" spans="2:14" ht="86.5" customHeight="1">
      <c r="B19" s="139">
        <v>57</v>
      </c>
      <c r="C19" s="191" t="str">
        <f>VLOOKUP(Tableau11[[#This Row],[Colonne1]],Tableau124[#All],2,FALSE)</f>
        <v>Doubs (25)</v>
      </c>
      <c r="D19" s="191" t="str">
        <f>VLOOKUP(Tableau11[[#This Row],[Colonne1]],Tableau124[#All],3,FALSE)</f>
        <v>Besançon</v>
      </c>
      <c r="E19" s="191">
        <f>VLOOKUP(Tableau11[[#This Row],[Colonne1]],Tableau124[#All],4,FALSE)</f>
        <v>25000</v>
      </c>
      <c r="F19" s="522" t="str">
        <f>VLOOKUP(Tableau11[[#This Row],[Colonne1]],Tableau124[#All],5,FALSE)</f>
        <v>Résidence l'AGORA, 2 rue Pierre Mesnage</v>
      </c>
      <c r="G19" s="191" t="str">
        <f>VLOOKUP(Tableau11[[#This Row],[Colonne1]],Tableau124[#All],6,FALSE)</f>
        <v>CSAPA (consultations avancées)</v>
      </c>
      <c r="H19" s="334" t="str">
        <f>VLOOKUP(Tableau11[[#This Row],[Colonne1]],Tableau124[#All],7,FALSE)</f>
        <v>CSAPA de Besançon - Association Addictions France - consultations avancées</v>
      </c>
      <c r="I19" s="334" t="str">
        <f>VLOOKUP(Tableau11[[#This Row],[Colonne1]],Tableau124[#All],8,FALSE)</f>
        <v>Associatif</v>
      </c>
      <c r="J19" s="434" t="str">
        <f>VLOOKUP(Tableau11[[#This Row],[Colonne1]],Tableau124[#All],9,FALSE)</f>
        <v>csapa.besancon@addictions-france.org</v>
      </c>
      <c r="K19" s="546" t="str">
        <f>VLOOKUP(Tableau11[[#This Row],[Colonne1]],Tableau124[#All],10,FALSE)</f>
        <v>03.81.83.22.80</v>
      </c>
      <c r="L19" s="434" t="str">
        <f>VLOOKUP(Tableau11[[#This Row],[Colonne1]],Tableau124[#All],11,FALSE)</f>
        <v>www.addictions-france.org</v>
      </c>
      <c r="M19" s="186" t="str">
        <f>VLOOKUP(Tableau11[[#This Row],[Colonne1]],Tableau124[#All],12,FALSE)</f>
        <v>Mercredi de 10h à 12h</v>
      </c>
      <c r="N19" s="191" t="str">
        <f>VLOOKUP(Tableau11[[#This Row],[Colonne1]],Tableau124[#All],13,FALSE)</f>
        <v>Réalisation de consultations avancées</v>
      </c>
    </row>
    <row r="20" spans="2:14" ht="75" customHeight="1">
      <c r="B20" s="139">
        <v>59</v>
      </c>
      <c r="C20" s="186" t="str">
        <f>VLOOKUP(Tableau11[[#This Row],[Colonne1]],Tableau124[#All],2,FALSE)</f>
        <v>Doubs (25)</v>
      </c>
      <c r="D20" s="186" t="str">
        <f>VLOOKUP(Tableau11[[#This Row],[Colonne1]],Tableau124[#All],3,FALSE)</f>
        <v>Besançon</v>
      </c>
      <c r="E20" s="186">
        <f>VLOOKUP(Tableau11[[#This Row],[Colonne1]],Tableau124[#All],4,FALSE)</f>
        <v>25000</v>
      </c>
      <c r="F20" s="135" t="str">
        <f>VLOOKUP(Tableau11[[#This Row],[Colonne1]],Tableau124[#All],5,FALSE)</f>
        <v>Résidence sociale ADOMA, 12 rue Saint Martin</v>
      </c>
      <c r="G20" s="186" t="str">
        <f>VLOOKUP(Tableau11[[#This Row],[Colonne1]],Tableau124[#All],6,FALSE)</f>
        <v>CSAPA (consultations avancées)</v>
      </c>
      <c r="H20" s="186" t="str">
        <f>VLOOKUP(Tableau11[[#This Row],[Colonne1]],Tableau124[#All],7,FALSE)</f>
        <v>CSAPA de Besançon - Association Addictions France - consultations avancées</v>
      </c>
      <c r="I20" s="186" t="str">
        <f>VLOOKUP(Tableau11[[#This Row],[Colonne1]],Tableau124[#All],8,FALSE)</f>
        <v>Associatif</v>
      </c>
      <c r="J20" s="270" t="str">
        <f>VLOOKUP(Tableau11[[#This Row],[Colonne1]],Tableau124[#All],9,FALSE)</f>
        <v>csapa.besancon@addictions-france.org</v>
      </c>
      <c r="K20" s="211" t="str">
        <f>VLOOKUP(Tableau11[[#This Row],[Colonne1]],Tableau124[#All],10,FALSE)</f>
        <v>03.81.83.22.82</v>
      </c>
      <c r="L20" s="272" t="str">
        <f>VLOOKUP(Tableau11[[#This Row],[Colonne1]],Tableau124[#All],11,FALSE)</f>
        <v>www.addictions-france.org</v>
      </c>
      <c r="M20" s="135" t="str">
        <f>VLOOKUP(Tableau11[[#This Row],[Colonne1]],Tableau124[#All],12,FALSE)</f>
        <v>Un jeudi sur deux de 10h à 11h</v>
      </c>
      <c r="N20" s="191" t="str">
        <f>VLOOKUP(Tableau11[[#This Row],[Colonne1]],Tableau124[#All],13,FALSE)</f>
        <v>Réalisation de consultations avancées</v>
      </c>
    </row>
    <row r="21" spans="2:14" ht="86.5" customHeight="1">
      <c r="B21" s="139">
        <v>61</v>
      </c>
      <c r="C21" s="182" t="str">
        <f>VLOOKUP(Tableau11[[#This Row],[Colonne1]],Tableau124[#All],2,FALSE)</f>
        <v>Doubs (25)</v>
      </c>
      <c r="D21" s="182" t="str">
        <f>VLOOKUP(Tableau11[[#This Row],[Colonne1]],Tableau124[#All],3,FALSE)</f>
        <v>Besançon</v>
      </c>
      <c r="E21" s="182">
        <f>VLOOKUP(Tableau11[[#This Row],[Colonne1]],Tableau124[#All],4,FALSE)</f>
        <v>25000</v>
      </c>
      <c r="F21" s="182" t="str">
        <f>VLOOKUP(Tableau11[[#This Row],[Colonne1]],Tableau124[#All],5,FALSE)</f>
        <v>CHU Site St Jacques, 2 places St Jacques, Besançon, Bâtiment St Elisabeth</v>
      </c>
      <c r="G21" s="182" t="str">
        <f>VLOOKUP(Tableau11[[#This Row],[Colonne1]],Tableau124[#All],6,FALSE)</f>
        <v>Unité d'hospitalisation de jour</v>
      </c>
      <c r="H21" s="182" t="str">
        <f>VLOOKUP(Tableau11[[#This Row],[Colonne1]],Tableau124[#All],7,FALSE)</f>
        <v>Centre Hospitalier Universitaire de Besançon</v>
      </c>
      <c r="I21" s="182" t="str">
        <f>VLOOKUP(Tableau11[[#This Row],[Colonne1]],Tableau124[#All],8,FALSE)</f>
        <v>Public</v>
      </c>
      <c r="J21" s="294" t="str">
        <f>VLOOKUP(Tableau11[[#This Row],[Colonne1]],Tableau124[#All],9,FALSE)</f>
        <v>hdjaddicto-secret@chu-besancon.fr</v>
      </c>
      <c r="K21" s="313" t="str">
        <f>VLOOKUP(Tableau11[[#This Row],[Colonne1]],Tableau124[#All],10,FALSE)</f>
        <v>03.81.21.82.03 / Fax: 03.81.21.82.09</v>
      </c>
      <c r="L21" s="294" t="str">
        <f>VLOOKUP(Tableau11[[#This Row],[Colonne1]],Tableau124[#All],11,FALSE)</f>
        <v>CHU - Psychiatrie de l'adulte (chu-besancon.fr)</v>
      </c>
      <c r="M21" s="182" t="str">
        <f>VLOOKUP(Tableau11[[#This Row],[Colonne1]],Tableau124[#All],12,FALSE)</f>
        <v>Horaire 9h-16h</v>
      </c>
      <c r="N21" s="296" t="str">
        <f>VLOOKUP(Tableau11[[#This Row],[Colonne1]],Tableau124[#All],13,FALSE)</f>
        <v>Adressage par un médecin après avoir complété la feuille d’adressage accessible sur le site du CHU 
Toutes addictions avec ou sans substances 
Objectifs
&gt; Maintien de l’abstinence
&gt; Sevrage simple
&gt; Réduction des consommation
&gt; Evaluation pathologie duelle 
Consultation de préadmission obligatoire
Soins organisé autour d’ateliers de groupe : Atelier psychosocial / éducation thérapeutique au patient / neuropsychologique / relaxation / nutrition / activité physique adapté / thérapie cognitivo-comportementale
Durée de 2 semaines à 3 mois maximum 
Il y a également des consultations addiction comportementales :
-	addictologie-secret@chu-besancon.fr 
-	CHU - Psychiatrie de l'adulte (chu-besancon.fr)
-	secrétariat : 03.81.21.90.08 / Fax: 03.81.21.90.28</v>
      </c>
    </row>
    <row r="22" spans="2:14" ht="86.5" customHeight="1">
      <c r="B22" s="139">
        <v>62</v>
      </c>
      <c r="C22" s="191" t="str">
        <f>VLOOKUP(Tableau11[[#This Row],[Colonne1]],Tableau124[#All],2,FALSE)</f>
        <v>Doubs (25)</v>
      </c>
      <c r="D22" s="191" t="str">
        <f>VLOOKUP(Tableau11[[#This Row],[Colonne1]],Tableau124[#All],3,FALSE)</f>
        <v>Chalezeule</v>
      </c>
      <c r="E22" s="191">
        <f>VLOOKUP(Tableau11[[#This Row],[Colonne1]],Tableau124[#All],4,FALSE)</f>
        <v>25220</v>
      </c>
      <c r="F22" s="191" t="str">
        <f>VLOOKUP(Tableau11[[#This Row],[Colonne1]],Tableau124[#All],5,FALSE)</f>
        <v>CHRS Javel, 2 grande rue</v>
      </c>
      <c r="G22" s="191" t="str">
        <f>VLOOKUP(Tableau11[[#This Row],[Colonne1]],Tableau124[#All],6,FALSE)</f>
        <v>CSAPA (consultations avancées)</v>
      </c>
      <c r="H22" s="191" t="str">
        <f>VLOOKUP(Tableau11[[#This Row],[Colonne1]],Tableau124[#All],7,FALSE)</f>
        <v>CSAPA de Besançon - Association Addictions France - consultations avancées</v>
      </c>
      <c r="I22" s="191" t="str">
        <f>VLOOKUP(Tableau11[[#This Row],[Colonne1]],Tableau124[#All],8,FALSE)</f>
        <v>Associatif</v>
      </c>
      <c r="J22" s="545" t="str">
        <f>VLOOKUP(Tableau11[[#This Row],[Colonne1]],Tableau124[#All],9,FALSE)</f>
        <v>csapa.besancon@addictions-france.org</v>
      </c>
      <c r="K22" s="401" t="str">
        <f>VLOOKUP(Tableau11[[#This Row],[Colonne1]],Tableau124[#All],10,FALSE)</f>
        <v>03.81.83.22.78</v>
      </c>
      <c r="L22" s="272" t="str">
        <f>VLOOKUP(Tableau11[[#This Row],[Colonne1]],Tableau124[#All],11,FALSE)</f>
        <v>www.addictions-france.org</v>
      </c>
      <c r="M22" s="191" t="str">
        <f>VLOOKUP(Tableau11[[#This Row],[Colonne1]],Tableau124[#All],12,FALSE)</f>
        <v>Jeudi de 16h30 à 18h30</v>
      </c>
      <c r="N22" s="191" t="str">
        <f>VLOOKUP(Tableau11[[#This Row],[Colonne1]],Tableau124[#All],13,FALSE)</f>
        <v>Réalisation de consultations avancées</v>
      </c>
    </row>
    <row r="23" spans="2:14" ht="86.5" customHeight="1">
      <c r="B23" s="139">
        <v>64</v>
      </c>
      <c r="C23" s="135" t="str">
        <f>VLOOKUP(Tableau11[[#This Row],[Colonne1]],Tableau124[#All],2,FALSE)</f>
        <v>Doubs (25)</v>
      </c>
      <c r="D23" s="135" t="str">
        <f>VLOOKUP(Tableau11[[#This Row],[Colonne1]],Tableau124[#All],3,FALSE)</f>
        <v>L'Isle Sur Le Doubs</v>
      </c>
      <c r="E23" s="135">
        <f>VLOOKUP(Tableau11[[#This Row],[Colonne1]],Tableau124[#All],4,FALSE)</f>
        <v>25250</v>
      </c>
      <c r="F23" s="135" t="str">
        <f>VLOOKUP(Tableau11[[#This Row],[Colonne1]],Tableau124[#All],5,FALSE)</f>
        <v>Isle Santé 54 Rue du Magny</v>
      </c>
      <c r="G23" s="135" t="str">
        <f>VLOOKUP(Tableau11[[#This Row],[Colonne1]],Tableau124[#All],6,FALSE)</f>
        <v>CSAPA (consultations avancées)</v>
      </c>
      <c r="H23" s="135" t="str">
        <f>VLOOKUP(Tableau11[[#This Row],[Colonne1]],Tableau124[#All],7,FALSE)</f>
        <v>CSAPA SOLEA - ADDSEA Bourgogne Franche Comté - consultations avancées</v>
      </c>
      <c r="I23" s="135" t="str">
        <f>VLOOKUP(Tableau11[[#This Row],[Colonne1]],Tableau124[#All],8,FALSE)</f>
        <v>Associatif</v>
      </c>
      <c r="J23" s="269" t="str">
        <f>VLOOKUP(Tableau11[[#This Row],[Colonne1]],Tableau124[#All],9,FALSE)</f>
        <v>solea@addsea.fr</v>
      </c>
      <c r="K23" s="199" t="str">
        <f>VLOOKUP(Tableau11[[#This Row],[Colonne1]],Tableau124[#All],10,FALSE)</f>
        <v>03 81 83 03 32</v>
      </c>
      <c r="L23" s="266" t="str">
        <f>VLOOKUP(Tableau11[[#This Row],[Colonne1]],Tableau124[#All],11,FALSE)</f>
        <v xml:space="preserve"> </v>
      </c>
      <c r="M23" s="96" t="str">
        <f>VLOOKUP(Tableau11[[#This Row],[Colonne1]],Tableau124[#All],12,FALSE)</f>
        <v>semaine impaire de 9h à 17h</v>
      </c>
      <c r="N23" s="96" t="str">
        <f>VLOOKUP(Tableau11[[#This Row],[Colonne1]],Tableau124[#All],13,FALSE)</f>
        <v>Réalisation de consultations avancées</v>
      </c>
    </row>
    <row r="24" spans="2:14" ht="86.5" customHeight="1">
      <c r="B24" s="139">
        <v>63</v>
      </c>
      <c r="C24" s="135" t="str">
        <f>VLOOKUP(Tableau11[[#This Row],[Colonne1]],Tableau124[#All],2,FALSE)</f>
        <v>Doubs (25)</v>
      </c>
      <c r="D24" s="135" t="str">
        <f>VLOOKUP(Tableau11[[#This Row],[Colonne1]],Tableau124[#All],3,FALSE)</f>
        <v>L'Isle Sur Le Doubs</v>
      </c>
      <c r="E24" s="135">
        <f>VLOOKUP(Tableau11[[#This Row],[Colonne1]],Tableau124[#All],4,FALSE)</f>
        <v>25250</v>
      </c>
      <c r="F24" s="135" t="str">
        <f>VLOOKUP(Tableau11[[#This Row],[Colonne1]],Tableau124[#All],5,FALSE)</f>
        <v>54 Rue du Magny</v>
      </c>
      <c r="G24" s="135" t="str">
        <f>VLOOKUP(Tableau11[[#This Row],[Colonne1]],Tableau124[#All],6,FALSE)</f>
        <v>CSAPA (consultations avancées)</v>
      </c>
      <c r="H24" s="135" t="str">
        <f>VLOOKUP(Tableau11[[#This Row],[Colonne1]],Tableau124[#All],7,FALSE)</f>
        <v>CSAPA Le Relais Equinoxe - Association d'Hygiène Sociale de Franche Comté - consultations avancées</v>
      </c>
      <c r="I24" s="135" t="str">
        <f>VLOOKUP(Tableau11[[#This Row],[Colonne1]],Tableau124[#All],8,FALSE)</f>
        <v>Associatif</v>
      </c>
      <c r="J24" s="269" t="str">
        <f>VLOOKUP(Tableau11[[#This Row],[Colonne1]],Tableau124[#All],9,FALSE)</f>
        <v>pole-addictologie.nfc@afs-fc.fr</v>
      </c>
      <c r="K24" s="199" t="str">
        <f>VLOOKUP(Tableau11[[#This Row],[Colonne1]],Tableau124[#All],10,FALSE)</f>
        <v>03.81.99.37.04</v>
      </c>
      <c r="L24" s="269" t="str">
        <f>VLOOKUP(Tableau11[[#This Row],[Colonne1]],Tableau124[#All],11,FALSE)</f>
        <v>www.ahs-fc.fr</v>
      </c>
      <c r="M24" s="96" t="str">
        <f>VLOOKUP(Tableau11[[#This Row],[Colonne1]],Tableau124[#All],12,FALSE)</f>
        <v>1 mardi sur 2 de 10h à 16h</v>
      </c>
      <c r="N24" s="220" t="str">
        <f>VLOOKUP(Tableau11[[#This Row],[Colonne1]],Tableau124[#All],13,FALSE)</f>
        <v>Réalisation de consultations avancées</v>
      </c>
    </row>
    <row r="25" spans="2:14" ht="86.5" customHeight="1">
      <c r="B25" s="139">
        <v>65</v>
      </c>
      <c r="C25" s="186" t="str">
        <f>VLOOKUP(Tableau11[[#This Row],[Colonne1]],Tableau124[#All],2,FALSE)</f>
        <v>Doubs (25)</v>
      </c>
      <c r="D25" s="186" t="str">
        <f>VLOOKUP(Tableau11[[#This Row],[Colonne1]],Tableau124[#All],3,FALSE)</f>
        <v>Maiche</v>
      </c>
      <c r="E25" s="186">
        <f>VLOOKUP(Tableau11[[#This Row],[Colonne1]],Tableau124[#All],4,FALSE)</f>
        <v>25120</v>
      </c>
      <c r="F25" s="135" t="str">
        <f>VLOOKUP(Tableau11[[#This Row],[Colonne1]],Tableau124[#All],5,FALSE)</f>
        <v>Espace France Services 8 rue de la gare 25 120 Maîche</v>
      </c>
      <c r="G25" s="186" t="str">
        <f>VLOOKUP(Tableau11[[#This Row],[Colonne1]],Tableau124[#All],6,FALSE)</f>
        <v>Antenne CSAPA</v>
      </c>
      <c r="H25" s="186" t="str">
        <f>VLOOKUP(Tableau11[[#This Row],[Colonne1]],Tableau124[#All],7,FALSE)</f>
        <v>CSAPA Le Relais Equinoxe - Association d'Hygiène Sociale de Franche Comté</v>
      </c>
      <c r="I25" s="186" t="str">
        <f>VLOOKUP(Tableau11[[#This Row],[Colonne1]],Tableau124[#All],8,FALSE)</f>
        <v>Associatif</v>
      </c>
      <c r="J25" s="268" t="str">
        <f>VLOOKUP(Tableau11[[#This Row],[Colonne1]],Tableau124[#All],9,FALSE)</f>
        <v>maiche.addictologie@gmail.com</v>
      </c>
      <c r="K25" s="205" t="str">
        <f>VLOOKUP(Tableau11[[#This Row],[Colonne1]],Tableau124[#All],10,FALSE)</f>
        <v>07-68-47-75-41</v>
      </c>
      <c r="L25" s="268" t="str">
        <f>VLOOKUP(Tableau11[[#This Row],[Colonne1]],Tableau124[#All],11,FALSE)</f>
        <v>www.ahs-fc.fr</v>
      </c>
      <c r="M25" s="100" t="str">
        <f>VLOOKUP(Tableau11[[#This Row],[Colonne1]],Tableau124[#All],12,FALSE)</f>
        <v>jeudi et vendredi de 10h à 17h</v>
      </c>
      <c r="N25" s="134" t="str">
        <f>VLOOKUP(Tableau11[[#This Row],[Colonne1]],Tableau124[#All],13,FALSE)</f>
        <v xml:space="preserve">  </v>
      </c>
    </row>
    <row r="26" spans="2:14" ht="86.5" customHeight="1">
      <c r="B26" s="139">
        <v>66</v>
      </c>
      <c r="C26" s="330" t="str">
        <f>VLOOKUP(Tableau11[[#This Row],[Colonne1]],Tableau124[#All],2,FALSE)</f>
        <v>Doubs (25)</v>
      </c>
      <c r="D26" s="330" t="str">
        <f>VLOOKUP(Tableau11[[#This Row],[Colonne1]],Tableau124[#All],3,FALSE)</f>
        <v>Montbéliard</v>
      </c>
      <c r="E26" s="330" t="str">
        <f>VLOOKUP(Tableau11[[#This Row],[Colonne1]],Tableau124[#All],4,FALSE)</f>
        <v>25200</v>
      </c>
      <c r="F26" s="330" t="str">
        <f>VLOOKUP(Tableau11[[#This Row],[Colonne1]],Tableau124[#All],5,FALSE)</f>
        <v>30 Fbg de Besançon</v>
      </c>
      <c r="G26" s="330" t="str">
        <f>VLOOKUP(Tableau11[[#This Row],[Colonne1]],Tableau124[#All],6,FALSE)</f>
        <v>CAARUD</v>
      </c>
      <c r="H26" s="330" t="str">
        <f>VLOOKUP(Tableau11[[#This Row],[Colonne1]],Tableau124[#All],7,FALSE)</f>
        <v>CAARUD ENTR'ACTES - Association d'Hygiène Sociale de Franche Comté</v>
      </c>
      <c r="I26" s="330" t="str">
        <f>VLOOKUP(Tableau11[[#This Row],[Colonne1]],Tableau124[#All],8,FALSE)</f>
        <v>Associatif</v>
      </c>
      <c r="J26" s="301" t="str">
        <f>VLOOKUP(Tableau11[[#This Row],[Colonne1]],Tableau124[#All],9,FALSE)</f>
        <v>pole-addictologie.nfc@ahs-fc.fr</v>
      </c>
      <c r="K26" s="210" t="str">
        <f>VLOOKUP(Tableau11[[#This Row],[Colonne1]],Tableau124[#All],10,FALSE)</f>
        <v>03.81.31.29.41
Unité Mobile : 06 85 11 08 91</v>
      </c>
      <c r="L26" s="298" t="str">
        <f>VLOOKUP(Tableau11[[#This Row],[Colonne1]],Tableau124[#All],11,FALSE)</f>
        <v>www.ahs-fc.fr</v>
      </c>
      <c r="M26" s="221" t="str">
        <f>VLOOKUP(Tableau11[[#This Row],[Colonne1]],Tableau124[#All],12,FALSE)</f>
        <v>Montbéliard :
lundi et jeudi de 10h à 15h</v>
      </c>
      <c r="N26" s="233" t="str">
        <f>VLOOKUP(Tableau11[[#This Row],[Colonne1]],Tableau124[#All],13,FALSE)</f>
        <v>- unité mobile pouvant servir de lieu d'accueil (déplacements sur tout le territoire Nord-Franche-Comté) ; 
- programme d'échange de seringues ;
- interventions ponctuelles en maraude ; 
- intervention en milieu festif ;
L’unité Mobile est rattachée au CAARUD : kmobile.nfc@ahs-fc.fr, kmobile.nfc@ahs-fc.fr, 06-85-11-08-91 (Semaine impaire ; mardi, mercred et jeudi
Semaine paire : mercredi, jeudi 
10h-16h)</v>
      </c>
    </row>
    <row r="27" spans="2:14" ht="86.5" customHeight="1">
      <c r="B27" s="139">
        <v>67</v>
      </c>
      <c r="C27" s="104" t="str">
        <f>VLOOKUP(Tableau11[[#This Row],[Colonne1]],Tableau124[#All],2,FALSE)</f>
        <v>Doubs (25)</v>
      </c>
      <c r="D27" s="104" t="str">
        <f>VLOOKUP(Tableau11[[#This Row],[Colonne1]],Tableau124[#All],3,FALSE)</f>
        <v>Montbéliard</v>
      </c>
      <c r="E27" s="104">
        <f>VLOOKUP(Tableau11[[#This Row],[Colonne1]],Tableau124[#All],4,FALSE)</f>
        <v>25200</v>
      </c>
      <c r="F27" s="104" t="str">
        <f>VLOOKUP(Tableau11[[#This Row],[Colonne1]],Tableau124[#All],5,FALSE)</f>
        <v>CMP Adultes, 9 avenue Léon Blum</v>
      </c>
      <c r="G27" s="104" t="str">
        <f>VLOOKUP(Tableau11[[#This Row],[Colonne1]],Tableau124[#All],6,FALSE)</f>
        <v>Consultations Hospitalières externes d'addictologie</v>
      </c>
      <c r="H27" s="104" t="str">
        <f>VLOOKUP(Tableau11[[#This Row],[Colonne1]],Tableau124[#All],7,FALSE)</f>
        <v>AHBFC</v>
      </c>
      <c r="I27" s="104" t="str">
        <f>VLOOKUP(Tableau11[[#This Row],[Colonne1]],Tableau124[#All],8,FALSE)</f>
        <v>Associatif</v>
      </c>
      <c r="J27" s="264" t="str">
        <f>VLOOKUP(Tableau11[[#This Row],[Colonne1]],Tableau124[#All],9,FALSE)</f>
        <v>contact@ahbfc.fr</v>
      </c>
      <c r="K27" s="200" t="str">
        <f>VLOOKUP(Tableau11[[#This Row],[Colonne1]],Tableau124[#All],10,FALSE)</f>
        <v>03 81 90 76 10</v>
      </c>
      <c r="L27" s="264" t="str">
        <f>VLOOKUP(Tableau11[[#This Row],[Colonne1]],Tableau124[#All],11,FALSE)</f>
        <v>www.ahbfc.fr</v>
      </c>
      <c r="M27" s="122" t="str">
        <f>VLOOKUP(Tableau11[[#This Row],[Colonne1]],Tableau124[#All],12,FALSE)</f>
        <v>du lundi au vendredi après-midi (14h-17h), sur rendez-vous.</v>
      </c>
      <c r="N27" s="122" t="str">
        <f>VLOOKUP(Tableau11[[#This Row],[Colonne1]],Tableau124[#All],13,FALSE)</f>
        <v>Intervention auprès de public majeurs</v>
      </c>
    </row>
    <row r="28" spans="2:14" ht="86.5" customHeight="1">
      <c r="B28" s="139">
        <v>68</v>
      </c>
      <c r="C28" s="135" t="str">
        <f>VLOOKUP(Tableau11[[#This Row],[Colonne1]],Tableau124[#All],2,FALSE)</f>
        <v>Doubs (25)</v>
      </c>
      <c r="D28" s="135" t="str">
        <f>VLOOKUP(Tableau11[[#This Row],[Colonne1]],Tableau124[#All],3,FALSE)</f>
        <v>Montbéliard</v>
      </c>
      <c r="E28" s="135" t="str">
        <f>VLOOKUP(Tableau11[[#This Row],[Colonne1]],Tableau124[#All],4,FALSE)</f>
        <v>25200</v>
      </c>
      <c r="F28" s="135" t="str">
        <f>VLOOKUP(Tableau11[[#This Row],[Colonne1]],Tableau124[#All],5,FALSE)</f>
        <v>40 Fbg de Besançon</v>
      </c>
      <c r="G28" s="135" t="str">
        <f>VLOOKUP(Tableau11[[#This Row],[Colonne1]],Tableau124[#All],6,FALSE)</f>
        <v>CSAPA</v>
      </c>
      <c r="H28" s="135" t="str">
        <f>VLOOKUP(Tableau11[[#This Row],[Colonne1]],Tableau124[#All],7,FALSE)</f>
        <v>CSAPA Le Relais Equinoxe - Association d'Hygiène Sociale de Franche Comté</v>
      </c>
      <c r="I28" s="135" t="str">
        <f>VLOOKUP(Tableau11[[#This Row],[Colonne1]],Tableau124[#All],8,FALSE)</f>
        <v>Associatif</v>
      </c>
      <c r="J28" s="272" t="str">
        <f>VLOOKUP(Tableau11[[#This Row],[Colonne1]],Tableau124[#All],9,FALSE)</f>
        <v>pole-addictologie.nfc@ahs-fc.fr</v>
      </c>
      <c r="K28" s="453" t="str">
        <f>VLOOKUP(Tableau11[[#This Row],[Colonne1]],Tableau124[#All],10,FALSE)</f>
        <v>03-81-91-09-22/
03-81-99-37-04</v>
      </c>
      <c r="L28" s="269" t="str">
        <f>VLOOKUP(Tableau11[[#This Row],[Colonne1]],Tableau124[#All],11,FALSE)</f>
        <v>www.ahs-fc.fr</v>
      </c>
      <c r="M28" s="454" t="str">
        <f>VLOOKUP(Tableau11[[#This Row],[Colonne1]],Tableau124[#All],12,FALSE)</f>
        <v>lundi : 11h - 17h
du mardi au vendredi : 9h - 17h
Consultations Jeunes Consommateurs : Samedi 9h-12h sur RV et sur les horaires du Csapa</v>
      </c>
      <c r="N28" s="456" t="str">
        <f>VLOOKUP(Tableau11[[#This Row],[Colonne1]],Tableau124[#All],13,FALSE)</f>
        <v>- Réalisation de consultations avancées sur Pont de Roide, Isle sur le Doubs, Delle et Ornans ;
- intervention en milieu pénitentiaire à la maison d'arrêt de Belfort et de Montébliard ;
- mise à disposition de matériel de consommation à moindre risque ;
- proposition de test rapide d'orientation diagnostic (TROD) ; 
- dispositifs anti-overdose à disposition ; 
- présence d'une CJC.</v>
      </c>
    </row>
    <row r="29" spans="2:14" ht="86.5" customHeight="1">
      <c r="B29" s="139">
        <v>70</v>
      </c>
      <c r="C29" s="135" t="str">
        <f>VLOOKUP(Tableau11[[#This Row],[Colonne1]],Tableau124[#All],2,FALSE)</f>
        <v>Doubs (25)</v>
      </c>
      <c r="D29" s="135" t="str">
        <f>VLOOKUP(Tableau11[[#This Row],[Colonne1]],Tableau124[#All],3,FALSE)</f>
        <v>Morteau</v>
      </c>
      <c r="E29" s="135">
        <f>VLOOKUP(Tableau11[[#This Row],[Colonne1]],Tableau124[#All],4,FALSE)</f>
        <v>25500</v>
      </c>
      <c r="F29" s="135" t="str">
        <f>VLOOKUP(Tableau11[[#This Row],[Colonne1]],Tableau124[#All],5,FALSE)</f>
        <v>Hopital de Morteau, 9 Rue Maréchal Leclerc</v>
      </c>
      <c r="G29" s="135" t="str">
        <f>VLOOKUP(Tableau11[[#This Row],[Colonne1]],Tableau124[#All],6,FALSE)</f>
        <v>CSAPA (consultations avancées)</v>
      </c>
      <c r="H29" s="135" t="str">
        <f>VLOOKUP(Tableau11[[#This Row],[Colonne1]],Tableau124[#All],7,FALSE)</f>
        <v>CSAPA CHI-HC - consultations avancées</v>
      </c>
      <c r="I29" s="135" t="str">
        <f>VLOOKUP(Tableau11[[#This Row],[Colonne1]],Tableau124[#All],8,FALSE)</f>
        <v>Public</v>
      </c>
      <c r="J29" s="269" t="str">
        <f>VLOOKUP(Tableau11[[#This Row],[Colonne1]],Tableau124[#All],9,FALSE)</f>
        <v>csapa@chi-hc.fr</v>
      </c>
      <c r="K29" s="199" t="str">
        <f>VLOOKUP(Tableau11[[#This Row],[Colonne1]],Tableau124[#All],10,FALSE)</f>
        <v>03 81 38 53 64</v>
      </c>
      <c r="L29" s="266" t="str">
        <f>VLOOKUP(Tableau11[[#This Row],[Colonne1]],Tableau124[#All],11,FALSE)</f>
        <v xml:space="preserve"> </v>
      </c>
      <c r="M29" s="96" t="str">
        <f>VLOOKUP(Tableau11[[#This Row],[Colonne1]],Tableau124[#All],12,FALSE)</f>
        <v>Un lundi sur deux de 14 heures à 18h30</v>
      </c>
      <c r="N29" s="96" t="str">
        <f>VLOOKUP(Tableau11[[#This Row],[Colonne1]],Tableau124[#All],13,FALSE)</f>
        <v>Réalisation de consultations avancées</v>
      </c>
    </row>
    <row r="30" spans="2:14" ht="86.5" customHeight="1">
      <c r="B30" s="139">
        <v>71</v>
      </c>
      <c r="C30" s="135" t="str">
        <f>VLOOKUP(Tableau11[[#This Row],[Colonne1]],Tableau124[#All],2,FALSE)</f>
        <v>Doubs (25)</v>
      </c>
      <c r="D30" s="135" t="str">
        <f>VLOOKUP(Tableau11[[#This Row],[Colonne1]],Tableau124[#All],3,FALSE)</f>
        <v>Morteau</v>
      </c>
      <c r="E30" s="135">
        <f>VLOOKUP(Tableau11[[#This Row],[Colonne1]],Tableau124[#All],4,FALSE)</f>
        <v>25500</v>
      </c>
      <c r="F30" s="135" t="str">
        <f>VLOOKUP(Tableau11[[#This Row],[Colonne1]],Tableau124[#All],5,FALSE)</f>
        <v>CCAS de Morteau, 6 rue Barral</v>
      </c>
      <c r="G30" s="135" t="str">
        <f>VLOOKUP(Tableau11[[#This Row],[Colonne1]],Tableau124[#All],6,FALSE)</f>
        <v>CSAPA (consultations avancées)</v>
      </c>
      <c r="H30" s="135" t="str">
        <f>VLOOKUP(Tableau11[[#This Row],[Colonne1]],Tableau124[#All],7,FALSE)</f>
        <v>CSAPA de Besançon - Association Addictions France - consultations avancées</v>
      </c>
      <c r="I30" s="135" t="str">
        <f>VLOOKUP(Tableau11[[#This Row],[Colonne1]],Tableau124[#All],8,FALSE)</f>
        <v>Associatif</v>
      </c>
      <c r="J30" s="269" t="str">
        <f>VLOOKUP(Tableau11[[#This Row],[Colonne1]],Tableau124[#All],9,FALSE)</f>
        <v>csapa.besancon@addictions-france.org</v>
      </c>
      <c r="K30" s="199" t="str">
        <f>VLOOKUP(Tableau11[[#This Row],[Colonne1]],Tableau124[#All],10,FALSE)</f>
        <v>03.81.83.22.76</v>
      </c>
      <c r="L30" s="269" t="str">
        <f>VLOOKUP(Tableau11[[#This Row],[Colonne1]],Tableau124[#All],11,FALSE)</f>
        <v>www.addictions-france.org</v>
      </c>
      <c r="M30" s="96" t="str">
        <f>VLOOKUP(Tableau11[[#This Row],[Colonne1]],Tableau124[#All],12,FALSE)</f>
        <v>Mercredi de 9h à 12h (semaine impaire) et de 9h à 17h (semaine paire)</v>
      </c>
      <c r="N30" s="96" t="str">
        <f>VLOOKUP(Tableau11[[#This Row],[Colonne1]],Tableau124[#All],13,FALSE)</f>
        <v>Réalisation de consultations avancées</v>
      </c>
    </row>
    <row r="31" spans="2:14" ht="86.5" customHeight="1">
      <c r="B31" s="139">
        <v>250</v>
      </c>
      <c r="C31" s="181" t="str">
        <f>VLOOKUP(Tableau11[[#This Row],[Colonne1]],Tableau124[#All],2,FALSE)</f>
        <v>Doubs (25)</v>
      </c>
      <c r="D31" s="181" t="str">
        <f>VLOOKUP(Tableau11[[#This Row],[Colonne1]],Tableau124[#All],3,FALSE)</f>
        <v>Novillars</v>
      </c>
      <c r="E31" s="181" t="str">
        <f>VLOOKUP(Tableau11[[#This Row],[Colonne1]],Tableau124[#All],4,FALSE)</f>
        <v>25000</v>
      </c>
      <c r="F31" s="104" t="str">
        <f>VLOOKUP(Tableau11[[#This Row],[Colonne1]],Tableau124[#All],5,FALSE)</f>
        <v>CMP Jules Vernes</v>
      </c>
      <c r="G31" s="181" t="str">
        <f>VLOOKUP(Tableau11[[#This Row],[Colonne1]],Tableau124[#All],6,FALSE)</f>
        <v>Consultations Hospitalières externes d'addictologie</v>
      </c>
      <c r="H31" s="181" t="str">
        <f>VLOOKUP(Tableau11[[#This Row],[Colonne1]],Tableau124[#All],7,FALSE)</f>
        <v xml:space="preserve">CH de Novillars </v>
      </c>
      <c r="I31" s="181" t="str">
        <f>VLOOKUP(Tableau11[[#This Row],[Colonne1]],Tableau124[#All],8,FALSE)</f>
        <v>Public</v>
      </c>
      <c r="J31" s="543" t="str">
        <f>VLOOKUP(Tableau11[[#This Row],[Colonne1]],Tableau124[#All],9,FALSE)</f>
        <v>cmp.julesverne@ch-novillars.fr</v>
      </c>
      <c r="K31" s="547" t="str">
        <f>VLOOKUP(Tableau11[[#This Row],[Colonne1]],Tableau124[#All],10,FALSE)</f>
        <v xml:space="preserve">03 81 40 38 00 </v>
      </c>
      <c r="L31" s="548" t="str">
        <f>VLOOKUP(Tableau11[[#This Row],[Colonne1]],Tableau124[#All],11,FALSE)</f>
        <v xml:space="preserve"> </v>
      </c>
      <c r="M31" s="181" t="str">
        <f>VLOOKUP(Tableau11[[#This Row],[Colonne1]],Tableau124[#All],12,FALSE)</f>
        <v>1 vendredi sur 2 au CMP (consultations de préadmission à Nérée)</v>
      </c>
      <c r="N31" s="184" t="str">
        <f>VLOOKUP(Tableau11[[#This Row],[Colonne1]],Tableau124[#All],13,FALSE)</f>
        <v xml:space="preserve"> Consultation spécialisée en addictologie en vue d'une admission en soins hospitaliers pour sevrage complexe
 L'adressage est médical, via le formulaire de demande de consultation disponible sur le site internet du CHN ou en passant par le secrétariat du pôle B.</v>
      </c>
    </row>
    <row r="32" spans="2:14" ht="86.5" customHeight="1">
      <c r="B32" s="139">
        <v>72</v>
      </c>
      <c r="C32" s="119" t="str">
        <f>VLOOKUP(Tableau11[[#This Row],[Colonne1]],Tableau124[#All],2,FALSE)</f>
        <v>Doubs (25)</v>
      </c>
      <c r="D32" s="119" t="str">
        <f>VLOOKUP(Tableau11[[#This Row],[Colonne1]],Tableau124[#All],3,FALSE)</f>
        <v>Novillars</v>
      </c>
      <c r="E32" s="119" t="str">
        <f>VLOOKUP(Tableau11[[#This Row],[Colonne1]],Tableau124[#All],4,FALSE)</f>
        <v>25000</v>
      </c>
      <c r="F32" s="119" t="str">
        <f>VLOOKUP(Tableau11[[#This Row],[Colonne1]],Tableau124[#All],5,FALSE)</f>
        <v xml:space="preserve"> CH NOVILLARS, Dans plusieurs services</v>
      </c>
      <c r="G32" s="121" t="str">
        <f>VLOOKUP(Tableau11[[#This Row],[Colonne1]],Tableau124[#All],6,FALSE)</f>
        <v>ELSA</v>
      </c>
      <c r="H32" s="119" t="str">
        <f>VLOOKUP(Tableau11[[#This Row],[Colonne1]],Tableau124[#All],7,FALSE)</f>
        <v>CHU BESANCON/ CH NOVILLARS</v>
      </c>
      <c r="I32" s="119" t="str">
        <f>VLOOKUP(Tableau11[[#This Row],[Colonne1]],Tableau124[#All],8,FALSE)</f>
        <v>Public</v>
      </c>
      <c r="J32" s="277" t="str">
        <f>VLOOKUP(Tableau11[[#This Row],[Colonne1]],Tableau124[#All],9,FALSE)</f>
        <v>addictologie-secret@chu-besancon.fr</v>
      </c>
      <c r="K32" s="310" t="str">
        <f>VLOOKUP(Tableau11[[#This Row],[Colonne1]],Tableau124[#All],10,FALSE)</f>
        <v>03-81-21-90-08</v>
      </c>
      <c r="L32" s="277" t="str">
        <f>VLOOKUP(Tableau11[[#This Row],[Colonne1]],Tableau124[#All],11,FALSE)</f>
        <v>www.chu-besancon.fr</v>
      </c>
      <c r="M32" s="216" t="str">
        <f>VLOOKUP(Tableau11[[#This Row],[Colonne1]],Tableau124[#All],12,FALSE)</f>
        <v xml:space="preserve">  </v>
      </c>
      <c r="N32" s="249" t="str">
        <f>VLOOKUP(Tableau11[[#This Row],[Colonne1]],Tableau124[#All],13,FALSE)</f>
        <v>- intervention auprès de public majeur ; 
- intervention au CHU :Services d'urgences du CHU : SAU, urgences traumatologiques,  urgences psychiatriques et sur l'ensemble du site de Novillars de médecine, chirurgie, obstétrique et de psychiatrie. 
- interventions au CH Novillars dans les services intra hospitaliers de psychiatrie
&gt; 8 lits d'addictologie au 1er septembre 2022 (unité Nérée du Centre Hospitalier de Novillars)
Sur adressage et/ou sur sollicitation directe de l'eéquipe de l'ELSA</v>
      </c>
    </row>
    <row r="33" spans="2:14" ht="86.5" customHeight="1">
      <c r="B33" s="139">
        <v>251</v>
      </c>
      <c r="C33" s="197" t="str">
        <f>VLOOKUP(Tableau11[[#This Row],[Colonne1]],Tableau124[#All],2,FALSE)</f>
        <v>Doubs (25)</v>
      </c>
      <c r="D33" s="197" t="str">
        <f>VLOOKUP(Tableau11[[#This Row],[Colonne1]],Tableau124[#All],3,FALSE)</f>
        <v>Novillars</v>
      </c>
      <c r="E33" s="197" t="str">
        <f>VLOOKUP(Tableau11[[#This Row],[Colonne1]],Tableau124[#All],4,FALSE)</f>
        <v>25000</v>
      </c>
      <c r="F33" s="197" t="str">
        <f>VLOOKUP(Tableau11[[#This Row],[Colonne1]],Tableau124[#All],5,FALSE)</f>
        <v xml:space="preserve"> CH NOVILLARS</v>
      </c>
      <c r="G33" s="197" t="str">
        <f>VLOOKUP(Tableau11[[#This Row],[Colonne1]],Tableau124[#All],6,FALSE)</f>
        <v>Soins complexes</v>
      </c>
      <c r="H33" s="197" t="str">
        <f>VLOOKUP(Tableau11[[#This Row],[Colonne1]],Tableau124[#All],7,FALSE)</f>
        <v>CH Novillars- Unité Nérée</v>
      </c>
      <c r="I33" s="197" t="str">
        <f>VLOOKUP(Tableau11[[#This Row],[Colonne1]],Tableau124[#All],8,FALSE)</f>
        <v>Public</v>
      </c>
      <c r="J33" s="338" t="str">
        <f>VLOOKUP(Tableau11[[#This Row],[Colonne1]],Tableau124[#All],9,FALSE)</f>
        <v>elsa@ch-novillars.fr</v>
      </c>
      <c r="K33" s="339">
        <f>VLOOKUP(Tableau11[[#This Row],[Colonne1]],Tableau124[#All],10,FALSE)</f>
        <v>381605819</v>
      </c>
      <c r="L33" s="266"/>
      <c r="M33" s="197" t="str">
        <f>VLOOKUP(Tableau11[[#This Row],[Colonne1]],Tableau124[#All],12,FALSE)</f>
        <v>Hospitalisation temps complet</v>
      </c>
      <c r="N33" s="197" t="str">
        <f>VLOOKUP(Tableau11[[#This Row],[Colonne1]],Tableau124[#All],13,FALSE)</f>
        <v>Unité de soins intersectorielles en addictologie pour le Doubs avec admission des patients après consultation de pré admission</v>
      </c>
    </row>
    <row r="34" spans="2:14" ht="86.5" customHeight="1">
      <c r="B34" s="139">
        <v>74</v>
      </c>
      <c r="C34" s="186" t="str">
        <f>VLOOKUP(Tableau11[[#This Row],[Colonne1]],Tableau124[#All],2,FALSE)</f>
        <v>Doubs (25)</v>
      </c>
      <c r="D34" s="186" t="str">
        <f>VLOOKUP(Tableau11[[#This Row],[Colonne1]],Tableau124[#All],3,FALSE)</f>
        <v>Ornans</v>
      </c>
      <c r="E34" s="186">
        <f>VLOOKUP(Tableau11[[#This Row],[Colonne1]],Tableau124[#All],4,FALSE)</f>
        <v>25290</v>
      </c>
      <c r="F34" s="186" t="str">
        <f>VLOOKUP(Tableau11[[#This Row],[Colonne1]],Tableau124[#All],5,FALSE)</f>
        <v>32 Rue Jacques Gervais</v>
      </c>
      <c r="G34" s="186" t="str">
        <f>VLOOKUP(Tableau11[[#This Row],[Colonne1]],Tableau124[#All],6,FALSE)</f>
        <v>CSAPA (consultations avancées)</v>
      </c>
      <c r="H34" s="186" t="str">
        <f>VLOOKUP(Tableau11[[#This Row],[Colonne1]],Tableau124[#All],7,FALSE)</f>
        <v>CSAPA SOLEA - ADDSEA Bourgogne Franche Comté - consultations avancées</v>
      </c>
      <c r="I34" s="186" t="str">
        <f>VLOOKUP(Tableau11[[#This Row],[Colonne1]],Tableau124[#All],8,FALSE)</f>
        <v>Associatif</v>
      </c>
      <c r="J34" s="268" t="str">
        <f>VLOOKUP(Tableau11[[#This Row],[Colonne1]],Tableau124[#All],9,FALSE)</f>
        <v>solea@addsea.fr</v>
      </c>
      <c r="K34" s="205">
        <f>VLOOKUP(Tableau11[[#This Row],[Colonne1]],Tableau124[#All],10,FALSE)</f>
        <v>381830332</v>
      </c>
      <c r="L34" s="266" t="str">
        <f>VLOOKUP(Tableau11[[#This Row],[Colonne1]],Tableau124[#All],11,FALSE)</f>
        <v xml:space="preserve"> </v>
      </c>
      <c r="M34" s="96" t="str">
        <f>VLOOKUP(Tableau11[[#This Row],[Colonne1]],Tableau124[#All],12,FALSE)</f>
        <v>une semaine sur deux de 9h à 17h</v>
      </c>
      <c r="N34" s="100" t="str">
        <f>VLOOKUP(Tableau11[[#This Row],[Colonne1]],Tableau124[#All],13,FALSE)</f>
        <v>Réalisation de consultations avancées</v>
      </c>
    </row>
    <row r="35" spans="2:14" ht="86.5" customHeight="1">
      <c r="B35" s="139">
        <v>73</v>
      </c>
      <c r="C35" s="186" t="str">
        <f>VLOOKUP(Tableau11[[#This Row],[Colonne1]],Tableau124[#All],2,FALSE)</f>
        <v>Doubs (25)</v>
      </c>
      <c r="D35" s="186" t="str">
        <f>VLOOKUP(Tableau11[[#This Row],[Colonne1]],Tableau124[#All],3,FALSE)</f>
        <v>Ornans</v>
      </c>
      <c r="E35" s="186">
        <f>VLOOKUP(Tableau11[[#This Row],[Colonne1]],Tableau124[#All],4,FALSE)</f>
        <v>25290</v>
      </c>
      <c r="F35" s="186" t="str">
        <f>VLOOKUP(Tableau11[[#This Row],[Colonne1]],Tableau124[#All],5,FALSE)</f>
        <v>1 Rue Saint-Laurent</v>
      </c>
      <c r="G35" s="186" t="str">
        <f>VLOOKUP(Tableau11[[#This Row],[Colonne1]],Tableau124[#All],6,FALSE)</f>
        <v>CSAPA (consultations avancées)</v>
      </c>
      <c r="H35" s="186" t="str">
        <f>VLOOKUP(Tableau11[[#This Row],[Colonne1]],Tableau124[#All],7,FALSE)</f>
        <v>CSAPA Le Relais Equinoxe - Association d'Hygiène Sociale de Franche Comté - consultations avancées</v>
      </c>
      <c r="I35" s="186" t="str">
        <f>VLOOKUP(Tableau11[[#This Row],[Colonne1]],Tableau124[#All],8,FALSE)</f>
        <v>Associatif</v>
      </c>
      <c r="J35" s="268" t="str">
        <f>VLOOKUP(Tableau11[[#This Row],[Colonne1]],Tableau124[#All],9,FALSE)</f>
        <v>pole-addiction.nfc@ahs-fc.fr</v>
      </c>
      <c r="K35" s="205" t="str">
        <f>VLOOKUP(Tableau11[[#This Row],[Colonne1]],Tableau124[#All],10,FALSE)</f>
        <v>03.81.99.37.08</v>
      </c>
      <c r="L35" s="268" t="str">
        <f>VLOOKUP(Tableau11[[#This Row],[Colonne1]],Tableau124[#All],11,FALSE)</f>
        <v>www.ahs-fc.fr</v>
      </c>
      <c r="M35" s="96" t="str">
        <f>VLOOKUP(Tableau11[[#This Row],[Colonne1]],Tableau124[#All],12,FALSE)</f>
        <v>Du lundi au vendredi de 8h30 à 12h et de 13h30 à 16h.</v>
      </c>
      <c r="N35" s="96" t="str">
        <f>VLOOKUP(Tableau11[[#This Row],[Colonne1]],Tableau124[#All],13,FALSE)</f>
        <v>Réalisation de consultations avancées</v>
      </c>
    </row>
    <row r="36" spans="2:14" ht="86.5" customHeight="1">
      <c r="B36" s="139">
        <v>75</v>
      </c>
      <c r="C36" s="135" t="str">
        <f>VLOOKUP(Tableau11[[#This Row],[Colonne1]],Tableau124[#All],2,FALSE)</f>
        <v>Doubs (25)</v>
      </c>
      <c r="D36" s="135" t="str">
        <f>VLOOKUP(Tableau11[[#This Row],[Colonne1]],Tableau124[#All],3,FALSE)</f>
        <v>Pont De Roide</v>
      </c>
      <c r="E36" s="135">
        <f>VLOOKUP(Tableau11[[#This Row],[Colonne1]],Tableau124[#All],4,FALSE)</f>
        <v>25100</v>
      </c>
      <c r="F36" s="135" t="str">
        <f>VLOOKUP(Tableau11[[#This Row],[Colonne1]],Tableau124[#All],5,FALSE)</f>
        <v xml:space="preserve">Maison de la Santé Rudipontaine 
3A Rue de la Résistance </v>
      </c>
      <c r="G36" s="135" t="str">
        <f>VLOOKUP(Tableau11[[#This Row],[Colonne1]],Tableau124[#All],6,FALSE)</f>
        <v>CSAPA (consultations avancées)</v>
      </c>
      <c r="H36" s="135" t="str">
        <f>VLOOKUP(Tableau11[[#This Row],[Colonne1]],Tableau124[#All],7,FALSE)</f>
        <v>CSAPA Le Relais Equinoxe - Association d'Hygiène Sociale de Franche Comté - consultations avancées</v>
      </c>
      <c r="I36" s="135" t="str">
        <f>VLOOKUP(Tableau11[[#This Row],[Colonne1]],Tableau124[#All],8,FALSE)</f>
        <v>Associatif</v>
      </c>
      <c r="J36" s="269" t="str">
        <f>VLOOKUP(Tableau11[[#This Row],[Colonne1]],Tableau124[#All],9,FALSE)</f>
        <v>pole-addictologie.nfc@ahs-fc.fr</v>
      </c>
      <c r="K36" s="199" t="str">
        <f>VLOOKUP(Tableau11[[#This Row],[Colonne1]],Tableau124[#All],10,FALSE)</f>
        <v>03-81-91-09-22</v>
      </c>
      <c r="L36" s="269" t="str">
        <f>VLOOKUP(Tableau11[[#This Row],[Colonne1]],Tableau124[#All],11,FALSE)</f>
        <v>www.ahs-fc.fr</v>
      </c>
      <c r="M36" s="96" t="str">
        <f>VLOOKUP(Tableau11[[#This Row],[Colonne1]],Tableau124[#All],12,FALSE)</f>
        <v>09H – 16H un jeudi sur deux</v>
      </c>
      <c r="N36" s="220" t="str">
        <f>VLOOKUP(Tableau11[[#This Row],[Colonne1]],Tableau124[#All],13,FALSE)</f>
        <v>Réalisation de consultations avancées</v>
      </c>
    </row>
    <row r="37" spans="2:14" ht="86.5" customHeight="1">
      <c r="B37" s="139">
        <v>76</v>
      </c>
      <c r="C37" s="180" t="str">
        <f>VLOOKUP(Tableau11[[#This Row],[Colonne1]],Tableau124[#All],2,FALSE)</f>
        <v>Doubs (25)</v>
      </c>
      <c r="D37" s="180" t="str">
        <f>VLOOKUP(Tableau11[[#This Row],[Colonne1]],Tableau124[#All],3,FALSE)</f>
        <v>Pontarlier</v>
      </c>
      <c r="E37" s="180" t="str">
        <f>VLOOKUP(Tableau11[[#This Row],[Colonne1]],Tableau124[#All],4,FALSE)</f>
        <v>25300</v>
      </c>
      <c r="F37" s="180" t="str">
        <f>VLOOKUP(Tableau11[[#This Row],[Colonne1]],Tableau124[#All],5,FALSE)</f>
        <v>2 Fbg Saint-Etienne</v>
      </c>
      <c r="G37" s="180" t="str">
        <f>VLOOKUP(Tableau11[[#This Row],[Colonne1]],Tableau124[#All],6,FALSE)</f>
        <v>CJC</v>
      </c>
      <c r="H37" s="180" t="str">
        <f>VLOOKUP(Tableau11[[#This Row],[Colonne1]],Tableau124[#All],7,FALSE)</f>
        <v>CSAPA CHI-HC</v>
      </c>
      <c r="I37" s="180" t="str">
        <f>VLOOKUP(Tableau11[[#This Row],[Colonne1]],Tableau124[#All],8,FALSE)</f>
        <v>Public</v>
      </c>
      <c r="J37" s="305" t="str">
        <f>VLOOKUP(Tableau11[[#This Row],[Colonne1]],Tableau124[#All],9,FALSE)</f>
        <v>csapa@chi-hc.fr</v>
      </c>
      <c r="K37" s="202" t="str">
        <f>VLOOKUP(Tableau11[[#This Row],[Colonne1]],Tableau124[#All],10,FALSE)</f>
        <v>03 81 38 53 64</v>
      </c>
      <c r="L37" s="266" t="str">
        <f>VLOOKUP(Tableau11[[#This Row],[Colonne1]],Tableau124[#All],11,FALSE)</f>
        <v xml:space="preserve"> </v>
      </c>
      <c r="M37" s="218" t="str">
        <f>VLOOKUP(Tableau11[[#This Row],[Colonne1]],Tableau124[#All],12,FALSE)</f>
        <v>Lundi/mardi/jeudi de 8h à19h
 et les mercredis/vendredi de 8h à 16h.</v>
      </c>
      <c r="N37" s="234" t="str">
        <f>VLOOKUP(Tableau11[[#This Row],[Colonne1]],Tableau124[#All],13,FALSE)</f>
        <v xml:space="preserve">- Accueil des familles ; 
- Orientation sur rendez-vous ;
- CJC accessible à la famille et l'entourage ; 
- locaux identiques à ceux du CSAPA. </v>
      </c>
    </row>
    <row r="38" spans="2:14" ht="86.5" customHeight="1">
      <c r="B38" s="139">
        <v>77</v>
      </c>
      <c r="C38" s="104" t="str">
        <f>VLOOKUP(Tableau11[[#This Row],[Colonne1]],Tableau124[#All],2,FALSE)</f>
        <v>Doubs (25)</v>
      </c>
      <c r="D38" s="104" t="str">
        <f>VLOOKUP(Tableau11[[#This Row],[Colonne1]],Tableau124[#All],3,FALSE)</f>
        <v>Pontarlier</v>
      </c>
      <c r="E38" s="104" t="str">
        <f>VLOOKUP(Tableau11[[#This Row],[Colonne1]],Tableau124[#All],4,FALSE)</f>
        <v>25300</v>
      </c>
      <c r="F38" s="104" t="str">
        <f>VLOOKUP(Tableau11[[#This Row],[Colonne1]],Tableau124[#All],5,FALSE)</f>
        <v>2 Fbg Saint-Etienne</v>
      </c>
      <c r="G38" s="104" t="str">
        <f>VLOOKUP(Tableau11[[#This Row],[Colonne1]],Tableau124[#All],6,FALSE)</f>
        <v>Consultations Hospitalières externes d'addictologie</v>
      </c>
      <c r="H38" s="104" t="str">
        <f>VLOOKUP(Tableau11[[#This Row],[Colonne1]],Tableau124[#All],7,FALSE)</f>
        <v>CHI-HC PONTARLIER</v>
      </c>
      <c r="I38" s="104" t="str">
        <f>VLOOKUP(Tableau11[[#This Row],[Colonne1]],Tableau124[#All],8,FALSE)</f>
        <v>Public</v>
      </c>
      <c r="J38" s="264" t="str">
        <f>VLOOKUP(Tableau11[[#This Row],[Colonne1]],Tableau124[#All],9,FALSE)</f>
        <v>csapa@chi-hc.fr</v>
      </c>
      <c r="K38" s="200" t="str">
        <f>VLOOKUP(Tableau11[[#This Row],[Colonne1]],Tableau124[#All],10,FALSE)</f>
        <v>03 81 38 53 64</v>
      </c>
      <c r="L38" s="266" t="str">
        <f>VLOOKUP(Tableau11[[#This Row],[Colonne1]],Tableau124[#All],11,FALSE)</f>
        <v xml:space="preserve"> </v>
      </c>
      <c r="M38" s="122" t="str">
        <f>VLOOKUP(Tableau11[[#This Row],[Colonne1]],Tableau124[#All],12,FALSE)</f>
        <v>Lundi, mardi et jeudi de 8 heures à 19 heures, mercredi et vendredi de 8 heures à 16 heures.</v>
      </c>
      <c r="N38" s="123" t="str">
        <f>VLOOKUP(Tableau11[[#This Row],[Colonne1]],Tableau124[#All],13,FALSE)</f>
        <v>Intervention auprès de public majeurs et mineurs</v>
      </c>
    </row>
    <row r="39" spans="2:14" ht="86.5" customHeight="1">
      <c r="B39" s="139">
        <v>79</v>
      </c>
      <c r="C39" s="135" t="str">
        <f>VLOOKUP(Tableau11[[#This Row],[Colonne1]],Tableau124[#All],2,FALSE)</f>
        <v>Doubs (25)</v>
      </c>
      <c r="D39" s="135" t="str">
        <f>VLOOKUP(Tableau11[[#This Row],[Colonne1]],Tableau124[#All],3,FALSE)</f>
        <v>Pontarlier</v>
      </c>
      <c r="E39" s="135" t="str">
        <f>VLOOKUP(Tableau11[[#This Row],[Colonne1]],Tableau124[#All],4,FALSE)</f>
        <v>25300</v>
      </c>
      <c r="F39" s="135" t="str">
        <f>VLOOKUP(Tableau11[[#This Row],[Colonne1]],Tableau124[#All],5,FALSE)</f>
        <v>2 faubourg Saint Etienne 25300 PONTARLIER</v>
      </c>
      <c r="G39" s="135" t="str">
        <f>VLOOKUP(Tableau11[[#This Row],[Colonne1]],Tableau124[#All],6,FALSE)</f>
        <v>CSAPA</v>
      </c>
      <c r="H39" s="135" t="str">
        <f>VLOOKUP(Tableau11[[#This Row],[Colonne1]],Tableau124[#All],7,FALSE)</f>
        <v>CSAPA CHI-HC</v>
      </c>
      <c r="I39" s="135" t="str">
        <f>VLOOKUP(Tableau11[[#This Row],[Colonne1]],Tableau124[#All],8,FALSE)</f>
        <v>Public</v>
      </c>
      <c r="J39" s="269" t="str">
        <f>VLOOKUP(Tableau11[[#This Row],[Colonne1]],Tableau124[#All],9,FALSE)</f>
        <v>csapa@chi-hc.fr</v>
      </c>
      <c r="K39" s="199" t="str">
        <f>VLOOKUP(Tableau11[[#This Row],[Colonne1]],Tableau124[#All],10,FALSE)</f>
        <v>03 81 38 53 64</v>
      </c>
      <c r="L39" s="266" t="str">
        <f>VLOOKUP(Tableau11[[#This Row],[Colonne1]],Tableau124[#All],11,FALSE)</f>
        <v xml:space="preserve"> </v>
      </c>
      <c r="M39" s="96" t="str">
        <f>VLOOKUP(Tableau11[[#This Row],[Colonne1]],Tableau124[#All],12,FALSE)</f>
        <v>Lundi-Mardi-Jeudi de 8 heures à 19 heures 
Mercredi et Vendredi de 8 heures à 16 heures</v>
      </c>
      <c r="N39" s="243" t="str">
        <f>VLOOKUP(Tableau11[[#This Row],[Colonne1]],Tableau124[#All],13,FALSE)</f>
        <v>- réalisation de consultations avancées sur Morteau ;
- présence d'une CJC</v>
      </c>
    </row>
    <row r="40" spans="2:14" ht="86.5" customHeight="1">
      <c r="B40" s="139">
        <v>81</v>
      </c>
      <c r="C40" s="119" t="str">
        <f>VLOOKUP(Tableau11[[#This Row],[Colonne1]],Tableau124[#All],2,FALSE)</f>
        <v>Doubs (25)</v>
      </c>
      <c r="D40" s="119" t="str">
        <f>VLOOKUP(Tableau11[[#This Row],[Colonne1]],Tableau124[#All],3,FALSE)</f>
        <v>Pontarlier</v>
      </c>
      <c r="E40" s="119" t="str">
        <f>VLOOKUP(Tableau11[[#This Row],[Colonne1]],Tableau124[#All],4,FALSE)</f>
        <v>25300</v>
      </c>
      <c r="F40" s="119" t="str">
        <f>VLOOKUP(Tableau11[[#This Row],[Colonne1]],Tableau124[#All],5,FALSE)</f>
        <v>CHI-HC PONTARLIER, Dans plusieurs services</v>
      </c>
      <c r="G40" s="179" t="str">
        <f>VLOOKUP(Tableau11[[#This Row],[Colonne1]],Tableau124[#All],6,FALSE)</f>
        <v>ELSA</v>
      </c>
      <c r="H40" s="119" t="str">
        <f>VLOOKUP(Tableau11[[#This Row],[Colonne1]],Tableau124[#All],7,FALSE)</f>
        <v>2 faubourg Saint Etienne 25300 PONTARLIER</v>
      </c>
      <c r="I40" s="119" t="str">
        <f>VLOOKUP(Tableau11[[#This Row],[Colonne1]],Tableau124[#All],8,FALSE)</f>
        <v>Public</v>
      </c>
      <c r="J40" s="277" t="str">
        <f>VLOOKUP(Tableau11[[#This Row],[Colonne1]],Tableau124[#All],9,FALSE)</f>
        <v>csapa@chi-hc.fr</v>
      </c>
      <c r="K40" s="310" t="str">
        <f>VLOOKUP(Tableau11[[#This Row],[Colonne1]],Tableau124[#All],10,FALSE)</f>
        <v>03 81 38 53 64</v>
      </c>
      <c r="L40" s="266" t="str">
        <f>VLOOKUP(Tableau11[[#This Row],[Colonne1]],Tableau124[#All],11,FALSE)</f>
        <v xml:space="preserve"> </v>
      </c>
      <c r="M40" s="216" t="str">
        <f>VLOOKUP(Tableau11[[#This Row],[Colonne1]],Tableau124[#All],12,FALSE)</f>
        <v xml:space="preserve">Lundi/mardi/jeudi de 8h à19h
 et les mercredis/vendredi de 8h à 16h.  </v>
      </c>
      <c r="N40" s="231" t="str">
        <f>VLOOKUP(Tableau11[[#This Row],[Colonne1]],Tableau124[#All],13,FALSE)</f>
        <v>-interventions tous publics ,dans tous les services; 
- interventions dans l'ensemble des services du CHI-HC ( les 3 services de médecine, le service de chirurgie, la maternité, la pédiatrie néonat., l'UHTCD, les urgences et la psychiatrie)</v>
      </c>
    </row>
    <row r="41" spans="2:14" ht="86.5" customHeight="1">
      <c r="B41" s="139">
        <v>80</v>
      </c>
      <c r="C41" s="190" t="str">
        <f>VLOOKUP(Tableau11[[#This Row],[Colonne1]],Tableau124[#All],2,FALSE)</f>
        <v>Doubs (25)</v>
      </c>
      <c r="D41" s="135" t="str">
        <f>VLOOKUP(Tableau11[[#This Row],[Colonne1]],Tableau124[#All],3,FALSE)</f>
        <v>Pontarlier</v>
      </c>
      <c r="E41" s="135">
        <f>VLOOKUP(Tableau11[[#This Row],[Colonne1]],Tableau124[#All],4,FALSE)</f>
        <v>25300</v>
      </c>
      <c r="F41" s="135" t="str">
        <f>VLOOKUP(Tableau11[[#This Row],[Colonne1]],Tableau124[#All],5,FALSE)</f>
        <v>Maison de santé de Pontarlier, 16  rue De la Fontaine</v>
      </c>
      <c r="G41" s="135" t="str">
        <f>VLOOKUP(Tableau11[[#This Row],[Colonne1]],Tableau124[#All],6,FALSE)</f>
        <v>CSAPA (consultations avancées)</v>
      </c>
      <c r="H41" s="135" t="str">
        <f>VLOOKUP(Tableau11[[#This Row],[Colonne1]],Tableau124[#All],7,FALSE)</f>
        <v>CSAPA de Besançon - Association Addictions France - consultations avancées</v>
      </c>
      <c r="I41" s="135" t="str">
        <f>VLOOKUP(Tableau11[[#This Row],[Colonne1]],Tableau124[#All],8,FALSE)</f>
        <v>Associatif</v>
      </c>
      <c r="J41" s="268" t="str">
        <f>VLOOKUP(Tableau11[[#This Row],[Colonne1]],Tableau124[#All],9,FALSE)</f>
        <v>csapa.besancon@addictions-france.org</v>
      </c>
      <c r="K41" s="205" t="str">
        <f>VLOOKUP(Tableau11[[#This Row],[Colonne1]],Tableau124[#All],10,FALSE)</f>
        <v>03.81.83.22.75</v>
      </c>
      <c r="L41" s="269" t="str">
        <f>VLOOKUP(Tableau11[[#This Row],[Colonne1]],Tableau124[#All],11,FALSE)</f>
        <v>www.addictions-france.org</v>
      </c>
      <c r="M41" s="100" t="str">
        <f>VLOOKUP(Tableau11[[#This Row],[Colonne1]],Tableau124[#All],12,FALSE)</f>
        <v>Mardi de 9h30 à 16h30</v>
      </c>
      <c r="N41" s="245" t="str">
        <f>VLOOKUP(Tableau11[[#This Row],[Colonne1]],Tableau124[#All],13,FALSE)</f>
        <v>Réalisation de consultations avancées</v>
      </c>
    </row>
    <row r="42" spans="2:14" ht="86.5" customHeight="1">
      <c r="B42" s="139">
        <v>83</v>
      </c>
      <c r="C42" s="135" t="str">
        <f>VLOOKUP(Tableau11[[#This Row],[Colonne1]],Tableau124[#All],2,FALSE)</f>
        <v>Doubs (25)</v>
      </c>
      <c r="D42" s="135" t="str">
        <f>VLOOKUP(Tableau11[[#This Row],[Colonne1]],Tableau124[#All],3,FALSE)</f>
        <v>Quingey</v>
      </c>
      <c r="E42" s="135">
        <f>VLOOKUP(Tableau11[[#This Row],[Colonne1]],Tableau124[#All],4,FALSE)</f>
        <v>25440</v>
      </c>
      <c r="F42" s="135" t="str">
        <f>VLOOKUP(Tableau11[[#This Row],[Colonne1]],Tableau124[#All],5,FALSE)</f>
        <v>Mairie de Quingey, 1 place d'armes</v>
      </c>
      <c r="G42" s="135" t="str">
        <f>VLOOKUP(Tableau11[[#This Row],[Colonne1]],Tableau124[#All],6,FALSE)</f>
        <v>CSAPA (consultations avancées)</v>
      </c>
      <c r="H42" s="135" t="str">
        <f>VLOOKUP(Tableau11[[#This Row],[Colonne1]],Tableau124[#All],7,FALSE)</f>
        <v>CSAPA de Besançon - Association Addictions France- consultations avancées</v>
      </c>
      <c r="I42" s="135" t="str">
        <f>VLOOKUP(Tableau11[[#This Row],[Colonne1]],Tableau124[#All],8,FALSE)</f>
        <v>Associatif</v>
      </c>
      <c r="J42" s="269" t="str">
        <f>VLOOKUP(Tableau11[[#This Row],[Colonne1]],Tableau124[#All],9,FALSE)</f>
        <v>csapa.besancon@addictions-france.org</v>
      </c>
      <c r="K42" s="199" t="str">
        <f>VLOOKUP(Tableau11[[#This Row],[Colonne1]],Tableau124[#All],10,FALSE)</f>
        <v>03.81.83.22.77</v>
      </c>
      <c r="L42" s="269" t="str">
        <f>VLOOKUP(Tableau11[[#This Row],[Colonne1]],Tableau124[#All],11,FALSE)</f>
        <v>www.addictions-france.org</v>
      </c>
      <c r="M42" s="96" t="str">
        <f>VLOOKUP(Tableau11[[#This Row],[Colonne1]],Tableau124[#All],12,FALSE)</f>
        <v>Vendredi de 8h30 à 11h30</v>
      </c>
      <c r="N42" s="96" t="str">
        <f>VLOOKUP(Tableau11[[#This Row],[Colonne1]],Tableau124[#All],13,FALSE)</f>
        <v>Réalisation de consultations avancées</v>
      </c>
    </row>
    <row r="43" spans="2:14" ht="86.5" customHeight="1">
      <c r="B43" s="139">
        <v>84</v>
      </c>
      <c r="C43" s="135" t="str">
        <f>VLOOKUP(Tableau11[[#This Row],[Colonne1]],Tableau124[#All],2,FALSE)</f>
        <v>Doubs (25)</v>
      </c>
      <c r="D43" s="135" t="str">
        <f>VLOOKUP(Tableau11[[#This Row],[Colonne1]],Tableau124[#All],3,FALSE)</f>
        <v>Valdahon</v>
      </c>
      <c r="E43" s="135">
        <f>VLOOKUP(Tableau11[[#This Row],[Colonne1]],Tableau124[#All],4,FALSE)</f>
        <v>25800</v>
      </c>
      <c r="F43" s="135" t="str">
        <f>VLOOKUP(Tableau11[[#This Row],[Colonne1]],Tableau124[#All],5,FALSE)</f>
        <v>Maison des Services 5 place de Gén de Gaulle</v>
      </c>
      <c r="G43" s="135" t="str">
        <f>VLOOKUP(Tableau11[[#This Row],[Colonne1]],Tableau124[#All],6,FALSE)</f>
        <v>CSAPA (consultations avancées)</v>
      </c>
      <c r="H43" s="135" t="str">
        <f>VLOOKUP(Tableau11[[#This Row],[Colonne1]],Tableau124[#All],7,FALSE)</f>
        <v>CSAPA SOLEA - ADDSEA Bourgogne Franche Comté - consultations avancées</v>
      </c>
      <c r="I43" s="135" t="str">
        <f>VLOOKUP(Tableau11[[#This Row],[Colonne1]],Tableau124[#All],8,FALSE)</f>
        <v>Associatif</v>
      </c>
      <c r="J43" s="269" t="str">
        <f>VLOOKUP(Tableau11[[#This Row],[Colonne1]],Tableau124[#All],9,FALSE)</f>
        <v>solea@addsea.fr</v>
      </c>
      <c r="K43" s="199">
        <f>VLOOKUP(Tableau11[[#This Row],[Colonne1]],Tableau124[#All],10,FALSE)</f>
        <v>381830332</v>
      </c>
      <c r="L43" s="266" t="str">
        <f>VLOOKUP(Tableau11[[#This Row],[Colonne1]],Tableau124[#All],11,FALSE)</f>
        <v xml:space="preserve"> </v>
      </c>
      <c r="M43" s="96" t="str">
        <f>VLOOKUP(Tableau11[[#This Row],[Colonne1]],Tableau124[#All],12,FALSE)</f>
        <v>semaine impaire de 9h à 17h</v>
      </c>
      <c r="N43" s="96" t="str">
        <f>VLOOKUP(Tableau11[[#This Row],[Colonne1]],Tableau124[#All],13,FALSE)</f>
        <v>Réalisation de consultations avancées</v>
      </c>
    </row>
  </sheetData>
  <mergeCells count="1">
    <mergeCell ref="C3:O3"/>
  </mergeCell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4">
    <tabColor rgb="FFC39BE1"/>
  </sheetPr>
  <dimension ref="A1:O44"/>
  <sheetViews>
    <sheetView zoomScale="51" zoomScaleNormal="80" workbookViewId="0">
      <selection activeCell="A13" sqref="A13:XFD13"/>
    </sheetView>
  </sheetViews>
  <sheetFormatPr baseColWidth="10" defaultColWidth="10.54296875" defaultRowHeight="14.5"/>
  <cols>
    <col min="1" max="1" width="16.54296875" style="48" customWidth="1"/>
    <col min="2" max="2" width="10.453125" style="1" customWidth="1"/>
    <col min="3" max="3" width="28.453125" style="1" customWidth="1"/>
    <col min="4" max="4" width="36.54296875" style="1" customWidth="1"/>
    <col min="5" max="5" width="24.1796875" style="1" customWidth="1"/>
    <col min="6" max="6" width="25.54296875" style="1" customWidth="1"/>
    <col min="7" max="7" width="29.453125" style="1" customWidth="1"/>
    <col min="8" max="8" width="27.81640625" style="1" customWidth="1"/>
    <col min="9" max="9" width="20.453125" style="1" customWidth="1"/>
    <col min="10" max="10" width="12.453125" style="1" customWidth="1"/>
    <col min="11" max="11" width="26.453125" style="1" customWidth="1"/>
    <col min="12" max="12" width="23.453125" style="1" customWidth="1"/>
    <col min="13" max="13" width="28.81640625" style="1" customWidth="1"/>
    <col min="14" max="14" width="39" style="1" customWidth="1"/>
    <col min="15" max="15" width="34.453125" style="1" hidden="1" customWidth="1"/>
    <col min="16" max="16384" width="10.54296875" style="1"/>
  </cols>
  <sheetData>
    <row r="1" spans="1:15" ht="57.65" customHeight="1">
      <c r="B1" s="48"/>
      <c r="C1" s="48"/>
      <c r="D1" s="48"/>
      <c r="E1" s="48"/>
      <c r="F1" s="48"/>
      <c r="G1" s="48"/>
      <c r="H1" s="48"/>
      <c r="I1" s="48"/>
      <c r="J1" s="48"/>
      <c r="K1" s="48"/>
      <c r="L1" s="48"/>
      <c r="M1" s="48"/>
      <c r="N1" s="48"/>
    </row>
    <row r="3" spans="1:15" ht="18.5">
      <c r="C3" s="618" t="s">
        <v>1017</v>
      </c>
      <c r="D3" s="618"/>
      <c r="E3" s="618"/>
      <c r="F3" s="618"/>
      <c r="G3" s="618"/>
      <c r="H3" s="618"/>
      <c r="I3" s="618"/>
      <c r="J3" s="618"/>
      <c r="K3" s="618"/>
      <c r="L3" s="618"/>
      <c r="M3" s="618"/>
      <c r="N3" s="618"/>
      <c r="O3" s="618"/>
    </row>
    <row r="5" spans="1:15">
      <c r="A5" s="49"/>
      <c r="B5" s="1" t="s">
        <v>1013</v>
      </c>
      <c r="C5" s="60" t="s">
        <v>18</v>
      </c>
      <c r="D5" s="60" t="s">
        <v>19</v>
      </c>
      <c r="E5" s="60" t="s">
        <v>20</v>
      </c>
      <c r="F5" s="60" t="s">
        <v>21</v>
      </c>
      <c r="G5" s="60" t="s">
        <v>22</v>
      </c>
      <c r="H5" s="60" t="s">
        <v>23</v>
      </c>
      <c r="I5" s="60" t="s">
        <v>24</v>
      </c>
      <c r="J5" s="60" t="s">
        <v>25</v>
      </c>
      <c r="K5" s="60" t="s">
        <v>26</v>
      </c>
      <c r="L5" s="60" t="s">
        <v>27</v>
      </c>
      <c r="M5" s="60" t="s">
        <v>28</v>
      </c>
      <c r="N5" s="146" t="s">
        <v>29</v>
      </c>
    </row>
    <row r="6" spans="1:15" ht="86.5" customHeight="1">
      <c r="B6" s="139">
        <v>87</v>
      </c>
      <c r="C6" s="135" t="str">
        <f>VLOOKUP(Tableau10[[#This Row],[Colonne1]],Tableau124[#All],2,FALSE)</f>
        <v>Haute-Saône (70)</v>
      </c>
      <c r="D6" s="135" t="str">
        <f>VLOOKUP(Tableau10[[#This Row],[Colonne1]],Tableau124[#All],3,FALSE)</f>
        <v>Gray</v>
      </c>
      <c r="E6" s="135">
        <f>VLOOKUP(Tableau10[[#This Row],[Colonne1]],Tableau124[#All],4,FALSE)</f>
        <v>70100</v>
      </c>
      <c r="F6" s="135" t="str">
        <f>VLOOKUP(Tableau10[[#This Row],[Colonne1]],Tableau124[#All],5,FALSE)</f>
        <v>MDA de Gray - 10, rue des Casernes</v>
      </c>
      <c r="G6" s="135" t="str">
        <f>VLOOKUP(Tableau10[[#This Row],[Colonne1]],Tableau124[#All],6,FALSE)</f>
        <v>CSAPA (consultations avancées)</v>
      </c>
      <c r="H6" s="135" t="str">
        <f>VLOOKUP(Tableau10[[#This Row],[Colonne1]],Tableau124[#All],7,FALSE)</f>
        <v>Association Addictions France en Haute-Saône - consultations avancées</v>
      </c>
      <c r="I6" s="135" t="str">
        <f>VLOOKUP(Tableau10[[#This Row],[Colonne1]],Tableau124[#All],8,FALSE)</f>
        <v>Associatif</v>
      </c>
      <c r="J6" s="269" t="str">
        <f>VLOOKUP(Tableau10[[#This Row],[Colonne1]],Tableau124[#All],9,FALSE)</f>
        <v>bfc70@addictions-france.org</v>
      </c>
      <c r="K6" s="199" t="str">
        <f>VLOOKUP(Tableau10[[#This Row],[Colonne1]],Tableau124[#All],10,FALSE)</f>
        <v>03-84-76-75-79</v>
      </c>
      <c r="L6" s="268" t="str">
        <f>VLOOKUP(Tableau10[[#This Row],[Colonne1]],Tableau124[#All],11,FALSE)</f>
        <v>https://addictions-france.org</v>
      </c>
      <c r="M6" s="96" t="str">
        <f>VLOOKUP(Tableau10[[#This Row],[Colonne1]],Tableau124[#All],12,FALSE)</f>
        <v>Mercredi 14h-18h</v>
      </c>
      <c r="N6" s="245" t="str">
        <f>VLOOKUP(Tableau10[[#This Row],[Colonne1]],Tableau124[#All],13,FALSE)</f>
        <v>Réalisation de consultations avancées</v>
      </c>
    </row>
    <row r="7" spans="1:15" ht="86.5" customHeight="1">
      <c r="B7" s="139">
        <v>88</v>
      </c>
      <c r="C7" s="135" t="str">
        <f>VLOOKUP(Tableau10[[#This Row],[Colonne1]],Tableau124[#All],2,FALSE)</f>
        <v>Haute-Saône (70)</v>
      </c>
      <c r="D7" s="135" t="str">
        <f>VLOOKUP(Tableau10[[#This Row],[Colonne1]],Tableau124[#All],3,FALSE)</f>
        <v>Gray</v>
      </c>
      <c r="E7" s="135">
        <f>VLOOKUP(Tableau10[[#This Row],[Colonne1]],Tableau124[#All],4,FALSE)</f>
        <v>70100</v>
      </c>
      <c r="F7" s="135" t="str">
        <f>VLOOKUP(Tableau10[[#This Row],[Colonne1]],Tableau124[#All],5,FALSE)</f>
        <v>Centre de Périnatalité de Proximité de Gray  5 r Arsenal</v>
      </c>
      <c r="G7" s="135" t="str">
        <f>VLOOKUP(Tableau10[[#This Row],[Colonne1]],Tableau124[#All],6,FALSE)</f>
        <v>CSAPA (consultations avancées)</v>
      </c>
      <c r="H7" s="135" t="str">
        <f>VLOOKUP(Tableau10[[#This Row],[Colonne1]],Tableau124[#All],7,FALSE)</f>
        <v xml:space="preserve">CSAPA - Association Addictions France - consultations avancées - Centre de Périnatalité de Proximité de Gray </v>
      </c>
      <c r="I7" s="135" t="str">
        <f>VLOOKUP(Tableau10[[#This Row],[Colonne1]],Tableau124[#All],8,FALSE)</f>
        <v>Associatif</v>
      </c>
      <c r="J7" s="268" t="str">
        <f>VLOOKUP(Tableau10[[#This Row],[Colonne1]],Tableau124[#All],9,FALSE)</f>
        <v>csapa.gray@addictions-france.org</v>
      </c>
      <c r="K7" s="205" t="str">
        <f>VLOOKUP(Tableau10[[#This Row],[Colonne1]],Tableau124[#All],10,FALSE)</f>
        <v>03-84-64-64-62</v>
      </c>
      <c r="L7" s="435" t="str">
        <f>VLOOKUP(Tableau10[[#This Row],[Colonne1]],Tableau124[#All],11,FALSE)</f>
        <v xml:space="preserve"> https://addictions-france.org</v>
      </c>
      <c r="M7" s="245" t="str">
        <f>VLOOKUP(Tableau10[[#This Row],[Colonne1]],Tableau124[#All],12,FALSE)</f>
        <v>Lundi 13h30-17h sauf 1er lundi du mois : 9h-12h30 - Jeudi 13h30-17h</v>
      </c>
      <c r="N7" s="245" t="str">
        <f>VLOOKUP(Tableau10[[#This Row],[Colonne1]],Tableau124[#All],13,FALSE)</f>
        <v>Réalisation de consultations avancées</v>
      </c>
    </row>
    <row r="8" spans="1:15" ht="86.5" customHeight="1">
      <c r="B8" s="139">
        <v>86</v>
      </c>
      <c r="C8" s="135" t="str">
        <f>VLOOKUP(Tableau10[[#This Row],[Colonne1]],Tableau124[#All],2,FALSE)</f>
        <v>Haute-Saône (70)</v>
      </c>
      <c r="D8" s="135" t="str">
        <f>VLOOKUP(Tableau10[[#This Row],[Colonne1]],Tableau124[#All],3,FALSE)</f>
        <v>Gray</v>
      </c>
      <c r="E8" s="135">
        <f>VLOOKUP(Tableau10[[#This Row],[Colonne1]],Tableau124[#All],4,FALSE)</f>
        <v>70100</v>
      </c>
      <c r="F8" s="135" t="str">
        <f>VLOOKUP(Tableau10[[#This Row],[Colonne1]],Tableau124[#All],5,FALSE)</f>
        <v>Centre hospitalier - 5, rue de l'Arsenal</v>
      </c>
      <c r="G8" s="135" t="str">
        <f>VLOOKUP(Tableau10[[#This Row],[Colonne1]],Tableau124[#All],6,FALSE)</f>
        <v>Antenne CSAPA</v>
      </c>
      <c r="H8" s="135" t="str">
        <f>VLOOKUP(Tableau10[[#This Row],[Colonne1]],Tableau124[#All],7,FALSE)</f>
        <v>Association Addictions France en Haute-Saône</v>
      </c>
      <c r="I8" s="135" t="str">
        <f>VLOOKUP(Tableau10[[#This Row],[Colonne1]],Tableau124[#All],8,FALSE)</f>
        <v>Associatif</v>
      </c>
      <c r="J8" s="268" t="str">
        <f>VLOOKUP(Tableau10[[#This Row],[Colonne1]],Tableau124[#All],9,FALSE)</f>
        <v>cspsa.gray@addictions-france.org</v>
      </c>
      <c r="K8" s="205" t="str">
        <f>VLOOKUP(Tableau10[[#This Row],[Colonne1]],Tableau124[#All],10,FALSE)</f>
        <v>03-84-64-64-62</v>
      </c>
      <c r="L8" s="303" t="str">
        <f>VLOOKUP(Tableau10[[#This Row],[Colonne1]],Tableau124[#All],11,FALSE)</f>
        <v>https://addictions-france.org</v>
      </c>
      <c r="M8" s="100" t="str">
        <f>VLOOKUP(Tableau10[[#This Row],[Colonne1]],Tableau124[#All],12,FALSE)</f>
        <v>Vendredi 9h12h30 et 13h 16h</v>
      </c>
      <c r="N8" s="248" t="str">
        <f>VLOOKUP(Tableau10[[#This Row],[Colonne1]],Tableau124[#All],13,FALSE)</f>
        <v>Réalisation de consultations avancées</v>
      </c>
    </row>
    <row r="9" spans="1:15" ht="86.5" customHeight="1">
      <c r="B9" s="139">
        <v>89</v>
      </c>
      <c r="C9" s="343" t="str">
        <f>VLOOKUP(Tableau10[[#This Row],[Colonne1]],Tableau124[#All],2,FALSE)</f>
        <v>Haute-Saône (70)</v>
      </c>
      <c r="D9" s="344" t="str">
        <f>VLOOKUP(Tableau10[[#This Row],[Colonne1]],Tableau124[#All],3,FALSE)</f>
        <v xml:space="preserve">Gray </v>
      </c>
      <c r="E9" s="344">
        <f>VLOOKUP(Tableau10[[#This Row],[Colonne1]],Tableau124[#All],4,FALSE)</f>
        <v>70100</v>
      </c>
      <c r="F9" s="344" t="str">
        <f>VLOOKUP(Tableau10[[#This Row],[Colonne1]],Tableau124[#All],5,FALSE)</f>
        <v>Antenne de Gray  – Centre Hospitalier – 5, rue de l’Arsenal</v>
      </c>
      <c r="G9" s="344" t="str">
        <f>VLOOKUP(Tableau10[[#This Row],[Colonne1]],Tableau124[#All],6,FALSE)</f>
        <v>CJC</v>
      </c>
      <c r="H9" s="343" t="str">
        <f>VLOOKUP(Tableau10[[#This Row],[Colonne1]],Tableau124[#All],7,FALSE)</f>
        <v>Association Addictions France en Haute-Saône</v>
      </c>
      <c r="I9" s="344" t="str">
        <f>VLOOKUP(Tableau10[[#This Row],[Colonne1]],Tableau124[#All],8,FALSE)</f>
        <v>Associatif</v>
      </c>
      <c r="J9" s="345" t="str">
        <f>VLOOKUP(Tableau10[[#This Row],[Colonne1]],Tableau124[#All],9,FALSE)</f>
        <v>csapa.gray@addictions-france.org</v>
      </c>
      <c r="K9" s="346" t="str">
        <f>VLOOKUP(Tableau10[[#This Row],[Colonne1]],Tableau124[#All],10,FALSE)</f>
        <v xml:space="preserve"> 03-84-64-64-62</v>
      </c>
      <c r="L9" s="345" t="str">
        <f>VLOOKUP(Tableau10[[#This Row],[Colonne1]],Tableau124[#All],11,FALSE)</f>
        <v>https://addictions-france.org</v>
      </c>
      <c r="M9" s="550" t="str">
        <f>VLOOKUP(Tableau10[[#This Row],[Colonne1]],Tableau124[#All],12,FALSE)</f>
        <v xml:space="preserve">Jeudi 12h30-16h </v>
      </c>
      <c r="N9" s="348" t="str">
        <f>VLOOKUP(Tableau10[[#This Row],[Colonne1]],Tableau124[#All],13,FALSE)</f>
        <v xml:space="preserve"> Locaux identiques à ceux du CSAPA ; Orientation sur rendez-vous ; accessible à la famille et l'entourage</v>
      </c>
    </row>
    <row r="10" spans="1:15" ht="86.5" customHeight="1">
      <c r="B10" s="139">
        <v>91</v>
      </c>
      <c r="C10" s="122" t="str">
        <f>VLOOKUP(Tableau10[[#This Row],[Colonne1]],Tableau124[#All],2,FALSE)</f>
        <v>Haute-Saône (70)</v>
      </c>
      <c r="D10" s="122" t="str">
        <f>VLOOKUP(Tableau10[[#This Row],[Colonne1]],Tableau124[#All],3,FALSE)</f>
        <v>Héricourt</v>
      </c>
      <c r="E10" s="122">
        <f>VLOOKUP(Tableau10[[#This Row],[Colonne1]],Tableau124[#All],4,FALSE)</f>
        <v>70400</v>
      </c>
      <c r="F10" s="122" t="str">
        <f>VLOOKUP(Tableau10[[#This Row],[Colonne1]],Tableau124[#All],5,FALSE)</f>
        <v>Association Hospitalière de Bourgogne-Franche-Comté, 9 rue martin Niemöller</v>
      </c>
      <c r="G10" s="122" t="str">
        <f>VLOOKUP(Tableau10[[#This Row],[Colonne1]],Tableau124[#All],6,FALSE)</f>
        <v>Consultations Hospitalières externes d'addictologie</v>
      </c>
      <c r="H10" s="122" t="str">
        <f>VLOOKUP(Tableau10[[#This Row],[Colonne1]],Tableau124[#All],7,FALSE)</f>
        <v>AHBFC</v>
      </c>
      <c r="I10" s="122" t="str">
        <f>VLOOKUP(Tableau10[[#This Row],[Colonne1]],Tableau124[#All],8,FALSE)</f>
        <v>Associatif</v>
      </c>
      <c r="J10" s="264" t="str">
        <f>VLOOKUP(Tableau10[[#This Row],[Colonne1]],Tableau124[#All],9,FALSE)</f>
        <v>contact@ahbfc.fr</v>
      </c>
      <c r="K10" s="200" t="str">
        <f>VLOOKUP(Tableau10[[#This Row],[Colonne1]],Tableau124[#All],10,FALSE)</f>
        <v xml:space="preserve">03 81 90 76 10 </v>
      </c>
      <c r="L10" s="264" t="str">
        <f>VLOOKUP(Tableau10[[#This Row],[Colonne1]],Tableau124[#All],11,FALSE)</f>
        <v>www.ahbfc.fr</v>
      </c>
      <c r="M10" s="206" t="str">
        <f>VLOOKUP(Tableau10[[#This Row],[Colonne1]],Tableau124[#All],12,FALSE)</f>
        <v>du lundi au vendredi après-midi (14h-17h), sur rendez-vous.</v>
      </c>
      <c r="N10" s="321" t="str">
        <f>VLOOKUP(Tableau10[[#This Row],[Colonne1]],Tableau124[#All],13,FALSE)</f>
        <v>Intervention auprès de public majeurs</v>
      </c>
    </row>
    <row r="11" spans="1:15" ht="86.5" customHeight="1">
      <c r="B11" s="139">
        <v>90</v>
      </c>
      <c r="C11" s="96" t="str">
        <f>VLOOKUP(Tableau10[[#This Row],[Colonne1]],Tableau124[#All],2,FALSE)</f>
        <v>Haute-Saône (70)</v>
      </c>
      <c r="D11" s="96" t="str">
        <f>VLOOKUP(Tableau10[[#This Row],[Colonne1]],Tableau124[#All],3,FALSE)</f>
        <v>Héricourt</v>
      </c>
      <c r="E11" s="96">
        <f>VLOOKUP(Tableau10[[#This Row],[Colonne1]],Tableau124[#All],4,FALSE)</f>
        <v>70400</v>
      </c>
      <c r="F11" s="96" t="str">
        <f>VLOOKUP(Tableau10[[#This Row],[Colonne1]],Tableau124[#All],5,FALSE)</f>
        <v>25 avenue Léon Jouhaux, BP 6</v>
      </c>
      <c r="G11" s="135" t="str">
        <f>VLOOKUP(Tableau10[[#This Row],[Colonne1]],Tableau124[#All],6,FALSE)</f>
        <v>Antenne CSAPA</v>
      </c>
      <c r="H11" s="135" t="str">
        <f>VLOOKUP(Tableau10[[#This Row],[Colonne1]],Tableau124[#All],7,FALSE)</f>
        <v>CSAPA Le Relais Equinoxe - Association d'Hygiène Sociale de Franche Comté</v>
      </c>
      <c r="I11" s="135" t="str">
        <f>VLOOKUP(Tableau10[[#This Row],[Colonne1]],Tableau124[#All],8,FALSE)</f>
        <v>Associatif</v>
      </c>
      <c r="J11" s="269" t="str">
        <f>VLOOKUP(Tableau10[[#This Row],[Colonne1]],Tableau124[#All],9,FALSE)</f>
        <v>pole-addictologie.nfc@ahs-fc.fr</v>
      </c>
      <c r="K11" s="199" t="str">
        <f>VLOOKUP(Tableau10[[#This Row],[Colonne1]],Tableau124[#All],10,FALSE)</f>
        <v>03 84 36 67 07</v>
      </c>
      <c r="L11" s="269" t="str">
        <f>VLOOKUP(Tableau10[[#This Row],[Colonne1]],Tableau124[#All],11,FALSE)</f>
        <v>www.ahs-fc.fr</v>
      </c>
      <c r="M11" s="96" t="str">
        <f>VLOOKUP(Tableau10[[#This Row],[Colonne1]],Tableau124[#All],12,FALSE)</f>
        <v>Lundi au jeudi de 9h à 16h 
Vendredi : 9h-13h30 et 14h30-16h</v>
      </c>
      <c r="N11" s="328" t="str">
        <f>VLOOKUP(Tableau10[[#This Row],[Colonne1]],Tableau124[#All],13,FALSE)</f>
        <v xml:space="preserve"> </v>
      </c>
    </row>
    <row r="12" spans="1:15" ht="86.5" customHeight="1">
      <c r="B12" s="139">
        <v>92</v>
      </c>
      <c r="C12" s="135" t="str">
        <f>VLOOKUP(Tableau10[[#This Row],[Colonne1]],Tableau124[#All],2,FALSE)</f>
        <v>Haute-Saône (70)</v>
      </c>
      <c r="D12" s="135" t="str">
        <f>VLOOKUP(Tableau10[[#This Row],[Colonne1]],Tableau124[#All],3,FALSE)</f>
        <v>Jussey</v>
      </c>
      <c r="E12" s="135">
        <f>VLOOKUP(Tableau10[[#This Row],[Colonne1]],Tableau124[#All],4,FALSE)</f>
        <v>70500</v>
      </c>
      <c r="F12" s="135" t="str">
        <f>VLOOKUP(Tableau10[[#This Row],[Colonne1]],Tableau124[#All],5,FALSE)</f>
        <v>CMS - Place du Champ de Foire</v>
      </c>
      <c r="G12" s="135" t="str">
        <f>VLOOKUP(Tableau10[[#This Row],[Colonne1]],Tableau124[#All],6,FALSE)</f>
        <v>CSAPA (consultations avancées)</v>
      </c>
      <c r="H12" s="135" t="str">
        <f>VLOOKUP(Tableau10[[#This Row],[Colonne1]],Tableau124[#All],7,FALSE)</f>
        <v>Association Addictions France en Haute-Saône - consultations avancées</v>
      </c>
      <c r="I12" s="135" t="str">
        <f>VLOOKUP(Tableau10[[#This Row],[Colonne1]],Tableau124[#All],8,FALSE)</f>
        <v>Associatif</v>
      </c>
      <c r="J12" s="269" t="str">
        <f>VLOOKUP(Tableau10[[#This Row],[Colonne1]],Tableau124[#All],9,FALSE)</f>
        <v>csapa.vesoul@addictions-france.org</v>
      </c>
      <c r="K12" s="205" t="str">
        <f>VLOOKUP(Tableau10[[#This Row],[Colonne1]],Tableau124[#All],10,FALSE)</f>
        <v>03-84-76-75-75</v>
      </c>
      <c r="L12" s="269" t="str">
        <f>VLOOKUP(Tableau10[[#This Row],[Colonne1]],Tableau124[#All],11,FALSE)</f>
        <v>https://addictions-france.org</v>
      </c>
      <c r="M12" s="100" t="str">
        <f>VLOOKUP(Tableau10[[#This Row],[Colonne1]],Tableau124[#All],12,FALSE)</f>
        <v>Lundi 13h30-16h30 (1 fois par mois)</v>
      </c>
      <c r="N12" s="248" t="str">
        <f>VLOOKUP(Tableau10[[#This Row],[Colonne1]],Tableau124[#All],13,FALSE)</f>
        <v>Réalisation de consultations avancées</v>
      </c>
    </row>
    <row r="13" spans="1:15" ht="86.5" customHeight="1">
      <c r="B13" s="139">
        <v>94</v>
      </c>
      <c r="C13" s="135" t="str">
        <f>VLOOKUP(Tableau10[[#This Row],[Colonne1]],Tableau124[#All],2,FALSE)</f>
        <v>Haute-Saône (70)</v>
      </c>
      <c r="D13" s="135" t="str">
        <f>VLOOKUP(Tableau10[[#This Row],[Colonne1]],Tableau124[#All],3,FALSE)</f>
        <v>Lure</v>
      </c>
      <c r="E13" s="135">
        <f>VLOOKUP(Tableau10[[#This Row],[Colonne1]],Tableau124[#All],4,FALSE)</f>
        <v>70200</v>
      </c>
      <c r="F13" s="135" t="str">
        <f>VLOOKUP(Tableau10[[#This Row],[Colonne1]],Tableau124[#All],5,FALSE)</f>
        <v>CMP - 4, rue Parmentier</v>
      </c>
      <c r="G13" s="135" t="str">
        <f>VLOOKUP(Tableau10[[#This Row],[Colonne1]],Tableau124[#All],6,FALSE)</f>
        <v>CSAPA (consultations avancées)</v>
      </c>
      <c r="H13" s="135" t="str">
        <f>VLOOKUP(Tableau10[[#This Row],[Colonne1]],Tableau124[#All],7,FALSE)</f>
        <v>Association Addictions France en Haute-Saône - consultations avancées</v>
      </c>
      <c r="I13" s="135" t="str">
        <f>VLOOKUP(Tableau10[[#This Row],[Colonne1]],Tableau124[#All],8,FALSE)</f>
        <v>Associatif</v>
      </c>
      <c r="J13" s="268" t="str">
        <f>VLOOKUP(Tableau10[[#This Row],[Colonne1]],Tableau124[#All],9,FALSE)</f>
        <v>csapa.vesoul@addictions-france.org</v>
      </c>
      <c r="K13" s="205" t="str">
        <f>VLOOKUP(Tableau10[[#This Row],[Colonne1]],Tableau124[#All],10,FALSE)</f>
        <v>03-84-76-75-75</v>
      </c>
      <c r="L13" s="268" t="str">
        <f>VLOOKUP(Tableau10[[#This Row],[Colonne1]],Tableau124[#All],11,FALSE)</f>
        <v>https://addictions-france.org</v>
      </c>
      <c r="M13" s="100" t="str">
        <f>VLOOKUP(Tableau10[[#This Row],[Colonne1]],Tableau124[#All],12,FALSE)</f>
        <v>Lundi 9h-12h30</v>
      </c>
      <c r="N13" s="248" t="str">
        <f>VLOOKUP(Tableau10[[#This Row],[Colonne1]],Tableau124[#All],13,FALSE)</f>
        <v>Réalisation de consultations avancées</v>
      </c>
    </row>
    <row r="14" spans="1:15" ht="86.5" customHeight="1">
      <c r="B14" s="139">
        <v>95</v>
      </c>
      <c r="C14" s="135" t="str">
        <f>VLOOKUP(Tableau10[[#This Row],[Colonne1]],Tableau124[#All],2,FALSE)</f>
        <v>Haute-Saône (70)</v>
      </c>
      <c r="D14" s="186" t="str">
        <f>VLOOKUP(Tableau10[[#This Row],[Colonne1]],Tableau124[#All],3,FALSE)</f>
        <v>Lure</v>
      </c>
      <c r="E14" s="186">
        <f>VLOOKUP(Tableau10[[#This Row],[Colonne1]],Tableau124[#All],4,FALSE)</f>
        <v>70200</v>
      </c>
      <c r="F14" s="135" t="str">
        <f>VLOOKUP(Tableau10[[#This Row],[Colonne1]],Tableau124[#All],5,FALSE)</f>
        <v>Centre de Périnatalité de Proximité de Lure, 37 rue Carnot</v>
      </c>
      <c r="G14" s="186" t="str">
        <f>VLOOKUP(Tableau10[[#This Row],[Colonne1]],Tableau124[#All],6,FALSE)</f>
        <v>CSAPA (consultations avancées)</v>
      </c>
      <c r="H14" s="186" t="str">
        <f>VLOOKUP(Tableau10[[#This Row],[Colonne1]],Tableau124[#All],7,FALSE)</f>
        <v xml:space="preserve">CSAPA - Association Addictions France - consultations avancées - Centre de Périnatalité de Proximité de Lure </v>
      </c>
      <c r="I14" s="186" t="str">
        <f>VLOOKUP(Tableau10[[#This Row],[Colonne1]],Tableau124[#All],8,FALSE)</f>
        <v>Associatif</v>
      </c>
      <c r="J14" s="268" t="str">
        <f>VLOOKUP(Tableau10[[#This Row],[Colonne1]],Tableau124[#All],9,FALSE)</f>
        <v>luref.lorenzi@chi70.fr</v>
      </c>
      <c r="K14" s="205" t="str">
        <f>VLOOKUP(Tableau10[[#This Row],[Colonne1]],Tableau124[#All],10,FALSE)</f>
        <v>03 84 62 43 57</v>
      </c>
      <c r="L14" s="268" t="str">
        <f>VLOOKUP(Tableau10[[#This Row],[Colonne1]],Tableau124[#All],11,FALSE)</f>
        <v>www.addictions-france.org</v>
      </c>
      <c r="M14" s="100" t="str">
        <f>VLOOKUP(Tableau10[[#This Row],[Colonne1]],Tableau124[#All],12,FALSE)</f>
        <v>Le lundi, mercredi et jeudi de 08h00 à 12h00 et de 13h30 à 16h30, le mardi, vendredi de 08h30 à 16h30 au 03 84 62 43 57</v>
      </c>
      <c r="N14" s="248" t="str">
        <f>VLOOKUP(Tableau10[[#This Row],[Colonne1]],Tableau124[#All],13,FALSE)</f>
        <v>Réalisation de consultations avancées</v>
      </c>
    </row>
    <row r="15" spans="1:15" ht="86.5" customHeight="1">
      <c r="B15" s="139">
        <v>93</v>
      </c>
      <c r="C15" s="104" t="str">
        <f>VLOOKUP(Tableau10[[#This Row],[Colonne1]],Tableau124[#All],2,FALSE)</f>
        <v>Haute-Saône (70)</v>
      </c>
      <c r="D15" s="181" t="str">
        <f>VLOOKUP(Tableau10[[#This Row],[Colonne1]],Tableau124[#All],3,FALSE)</f>
        <v>Lure</v>
      </c>
      <c r="E15" s="181">
        <f>VLOOKUP(Tableau10[[#This Row],[Colonne1]],Tableau124[#All],4,FALSE)</f>
        <v>70200</v>
      </c>
      <c r="F15" s="104" t="str">
        <f>VLOOKUP(Tableau10[[#This Row],[Colonne1]],Tableau124[#All],5,FALSE)</f>
        <v>37 rue Carnot</v>
      </c>
      <c r="G15" s="181" t="str">
        <f>VLOOKUP(Tableau10[[#This Row],[Colonne1]],Tableau124[#All],6,FALSE)</f>
        <v>Consultations Hospitalières externes d'addictologie (autre lieu d'intervention)</v>
      </c>
      <c r="H15" s="181" t="str">
        <f>VLOOKUP(Tableau10[[#This Row],[Colonne1]],Tableau124[#All],7,FALSE)</f>
        <v>Consultation d'addictologie et de tabacologie (Groupe Hospitalier de la Haute-Saône (GH70))</v>
      </c>
      <c r="I15" s="181" t="str">
        <f>VLOOKUP(Tableau10[[#This Row],[Colonne1]],Tableau124[#All],8,FALSE)</f>
        <v>Public</v>
      </c>
      <c r="J15" s="265" t="str">
        <f>VLOOKUP(Tableau10[[#This Row],[Colonne1]],Tableau124[#All],9,FALSE)</f>
        <v>contact@gh70.fr</v>
      </c>
      <c r="K15" s="203" t="str">
        <f>VLOOKUP(Tableau10[[#This Row],[Colonne1]],Tableau124[#All],10,FALSE)</f>
        <v>03 84 62 43 82</v>
      </c>
      <c r="L15" s="265" t="str">
        <f>VLOOKUP(Tableau10[[#This Row],[Colonne1]],Tableau124[#All],11,FALSE)</f>
        <v>https://www.gh70.fr</v>
      </c>
      <c r="M15" s="206" t="str">
        <f>VLOOKUP(Tableau10[[#This Row],[Colonne1]],Tableau124[#All],12,FALSE)</f>
        <v>9h - 17h du lundi au vendredi</v>
      </c>
      <c r="N15" s="321" t="str">
        <f>VLOOKUP(Tableau10[[#This Row],[Colonne1]],Tableau124[#All],13,FALSE)</f>
        <v>Intervention auprès de public majeurs et mineurs ainsi qu'au Groupe Hospitalier de la Haute-Saône (GH70)</v>
      </c>
    </row>
    <row r="16" spans="1:15" ht="86.5" customHeight="1">
      <c r="B16" s="139">
        <v>98</v>
      </c>
      <c r="C16" s="135" t="str">
        <f>VLOOKUP(Tableau10[[#This Row],[Colonne1]],Tableau124[#All],2,FALSE)</f>
        <v>Haute-Saône (70)</v>
      </c>
      <c r="D16" s="186" t="str">
        <f>VLOOKUP(Tableau10[[#This Row],[Colonne1]],Tableau124[#All],3,FALSE)</f>
        <v>Luxeuil-Les-Bains</v>
      </c>
      <c r="E16" s="186">
        <f>VLOOKUP(Tableau10[[#This Row],[Colonne1]],Tableau124[#All],4,FALSE)</f>
        <v>70300</v>
      </c>
      <c r="F16" s="135" t="str">
        <f>VLOOKUP(Tableau10[[#This Row],[Colonne1]],Tableau124[#All],5,FALSE)</f>
        <v>MDA de Luxeuil-les-Bains - Place du 8 mai 1945</v>
      </c>
      <c r="G16" s="186" t="str">
        <f>VLOOKUP(Tableau10[[#This Row],[Colonne1]],Tableau124[#All],6,FALSE)</f>
        <v>CSAPA (consultations avancées)</v>
      </c>
      <c r="H16" s="186" t="str">
        <f>VLOOKUP(Tableau10[[#This Row],[Colonne1]],Tableau124[#All],7,FALSE)</f>
        <v>Association Addictions France en Haute-Saône - consultations avancées</v>
      </c>
      <c r="I16" s="186" t="str">
        <f>VLOOKUP(Tableau10[[#This Row],[Colonne1]],Tableau124[#All],8,FALSE)</f>
        <v>Associatif</v>
      </c>
      <c r="J16" s="268" t="str">
        <f>VLOOKUP(Tableau10[[#This Row],[Colonne1]],Tableau124[#All],9,FALSE)</f>
        <v>bfc70@addictions-france.org</v>
      </c>
      <c r="K16" s="205" t="str">
        <f>VLOOKUP(Tableau10[[#This Row],[Colonne1]],Tableau124[#All],10,FALSE)</f>
        <v>03-84-76-75-80</v>
      </c>
      <c r="L16" s="268" t="str">
        <f>VLOOKUP(Tableau10[[#This Row],[Colonne1]],Tableau124[#All],11,FALSE)</f>
        <v>https://addictions-france.org</v>
      </c>
      <c r="M16" s="100" t="str">
        <f>VLOOKUP(Tableau10[[#This Row],[Colonne1]],Tableau124[#All],12,FALSE)</f>
        <v>Lundi 14h-17h30</v>
      </c>
      <c r="N16" s="248" t="str">
        <f>VLOOKUP(Tableau10[[#This Row],[Colonne1]],Tableau124[#All],13,FALSE)</f>
        <v>Réalisation de consultations avancées</v>
      </c>
    </row>
    <row r="17" spans="2:14" ht="86.5" customHeight="1">
      <c r="B17" s="139">
        <v>99</v>
      </c>
      <c r="C17" s="135" t="str">
        <f>VLOOKUP(Tableau10[[#This Row],[Colonne1]],Tableau124[#All],2,FALSE)</f>
        <v>Haute-Saône (70)</v>
      </c>
      <c r="D17" s="135" t="str">
        <f>VLOOKUP(Tableau10[[#This Row],[Colonne1]],Tableau124[#All],3,FALSE)</f>
        <v>Luxeuil-Les-Bains</v>
      </c>
      <c r="E17" s="135">
        <f>VLOOKUP(Tableau10[[#This Row],[Colonne1]],Tableau124[#All],4,FALSE)</f>
        <v>70300</v>
      </c>
      <c r="F17" s="135" t="str">
        <f>VLOOKUP(Tableau10[[#This Row],[Colonne1]],Tableau124[#All],5,FALSE)</f>
        <v>Centre de Périnatalité de Proximité de Luxueil, 12 rue Grammont</v>
      </c>
      <c r="G17" s="135" t="str">
        <f>VLOOKUP(Tableau10[[#This Row],[Colonne1]],Tableau124[#All],6,FALSE)</f>
        <v>CSAPA (consultations avancées)</v>
      </c>
      <c r="H17" s="135" t="str">
        <f>VLOOKUP(Tableau10[[#This Row],[Colonne1]],Tableau124[#All],7,FALSE)</f>
        <v xml:space="preserve">CSAPA - Association Addictions France - consultations avancées - Centre de Périnatalité de Proximité de Luxueil </v>
      </c>
      <c r="I17" s="135" t="str">
        <f>VLOOKUP(Tableau10[[#This Row],[Colonne1]],Tableau124[#All],8,FALSE)</f>
        <v>Associatif</v>
      </c>
      <c r="J17" s="268" t="str">
        <f>VLOOKUP(Tableau10[[#This Row],[Colonne1]],Tableau124[#All],9,FALSE)</f>
        <v>csapa.vesoul@addictions-france.org</v>
      </c>
      <c r="K17" s="205" t="str">
        <f>VLOOKUP(Tableau10[[#This Row],[Colonne1]],Tableau124[#All],10,FALSE)</f>
        <v>03-84-76-75-75</v>
      </c>
      <c r="L17" s="268" t="str">
        <f>VLOOKUP(Tableau10[[#This Row],[Colonne1]],Tableau124[#All],11,FALSE)</f>
        <v>https://addictions-france.org</v>
      </c>
      <c r="M17" s="100" t="str">
        <f>VLOOKUP(Tableau10[[#This Row],[Colonne1]],Tableau124[#All],12,FALSE)</f>
        <v>Du lundi au mercredi de 08h00 à 12h00 et de 13h30 à 17h00, le jeudi de 08h00 à 12h00 et de 14h00 à 18h00, le Vendredi 10h-12h30/13h30-16h</v>
      </c>
      <c r="N17" s="245" t="str">
        <f>VLOOKUP(Tableau10[[#This Row],[Colonne1]],Tableau124[#All],13,FALSE)</f>
        <v>Réalisation de consultations avancées</v>
      </c>
    </row>
    <row r="18" spans="2:14" ht="86.5" customHeight="1">
      <c r="B18" s="139">
        <v>96</v>
      </c>
      <c r="C18" s="135" t="str">
        <f>VLOOKUP(Tableau10[[#This Row],[Colonne1]],Tableau124[#All],2,FALSE)</f>
        <v>Haute-Saône (70)</v>
      </c>
      <c r="D18" s="135" t="str">
        <f>VLOOKUP(Tableau10[[#This Row],[Colonne1]],Tableau124[#All],3,FALSE)</f>
        <v>Luxeuil-Les-Bains</v>
      </c>
      <c r="E18" s="135">
        <f>VLOOKUP(Tableau10[[#This Row],[Colonne1]],Tableau124[#All],4,FALSE)</f>
        <v>70300</v>
      </c>
      <c r="F18" s="135" t="str">
        <f>VLOOKUP(Tableau10[[#This Row],[Colonne1]],Tableau124[#All],5,FALSE)</f>
        <v>Groupe Hospitalier - 2, rue Grammont</v>
      </c>
      <c r="G18" s="135" t="str">
        <f>VLOOKUP(Tableau10[[#This Row],[Colonne1]],Tableau124[#All],6,FALSE)</f>
        <v>Antenne CSAPA</v>
      </c>
      <c r="H18" s="135" t="str">
        <f>VLOOKUP(Tableau10[[#This Row],[Colonne1]],Tableau124[#All],7,FALSE)</f>
        <v>Association Addictions France en Haute-Saône</v>
      </c>
      <c r="I18" s="135" t="str">
        <f>VLOOKUP(Tableau10[[#This Row],[Colonne1]],Tableau124[#All],8,FALSE)</f>
        <v>Associatif</v>
      </c>
      <c r="J18" s="268" t="str">
        <f>VLOOKUP(Tableau10[[#This Row],[Colonne1]],Tableau124[#All],9,FALSE)</f>
        <v>csapa.vesoul@addicitions-france.org</v>
      </c>
      <c r="K18" s="205" t="str">
        <f>VLOOKUP(Tableau10[[#This Row],[Colonne1]],Tableau124[#All],10,FALSE)</f>
        <v>03-84-76-75-75</v>
      </c>
      <c r="L18" s="303" t="str">
        <f>VLOOKUP(Tableau10[[#This Row],[Colonne1]],Tableau124[#All],11,FALSE)</f>
        <v>https://addictions-france.org</v>
      </c>
      <c r="M18" s="100" t="str">
        <f>VLOOKUP(Tableau10[[#This Row],[Colonne1]],Tableau124[#All],12,FALSE)</f>
        <v>Mardi 9h-12h30/13h30-17h - Mercredi 9h-12h30 - Jeudi 9h-12h - Vendredi 9h-12h30/13h-16h30</v>
      </c>
      <c r="N18" s="328" t="str">
        <f>VLOOKUP(Tableau10[[#This Row],[Colonne1]],Tableau124[#All],13,FALSE)</f>
        <v xml:space="preserve">  </v>
      </c>
    </row>
    <row r="19" spans="2:14" ht="86.5" customHeight="1">
      <c r="B19" s="139">
        <v>97</v>
      </c>
      <c r="C19" s="104" t="str">
        <f>VLOOKUP(Tableau10[[#This Row],[Colonne1]],Tableau124[#All],2,FALSE)</f>
        <v>Haute-Saône (70)</v>
      </c>
      <c r="D19" s="104" t="str">
        <f>VLOOKUP(Tableau10[[#This Row],[Colonne1]],Tableau124[#All],3,FALSE)</f>
        <v>Luxeuil-Les-Bains</v>
      </c>
      <c r="E19" s="104">
        <f>VLOOKUP(Tableau10[[#This Row],[Colonne1]],Tableau124[#All],4,FALSE)</f>
        <v>70300</v>
      </c>
      <c r="F19" s="104" t="str">
        <f>VLOOKUP(Tableau10[[#This Row],[Colonne1]],Tableau124[#All],5,FALSE)</f>
        <v>12 rue Grammont</v>
      </c>
      <c r="G19" s="104" t="str">
        <f>VLOOKUP(Tableau10[[#This Row],[Colonne1]],Tableau124[#All],6,FALSE)</f>
        <v>Consultations Hospitalières externes d'addictologie (autre lieu d'intervention)</v>
      </c>
      <c r="H19" s="104" t="str">
        <f>VLOOKUP(Tableau10[[#This Row],[Colonne1]],Tableau124[#All],7,FALSE)</f>
        <v>Consultation d'addictologie et de tabacologie (Groupe Hospitalier de la Haute-Saône (GH70))</v>
      </c>
      <c r="I19" s="104" t="str">
        <f>VLOOKUP(Tableau10[[#This Row],[Colonne1]],Tableau124[#All],8,FALSE)</f>
        <v>Public</v>
      </c>
      <c r="J19" s="265" t="str">
        <f>VLOOKUP(Tableau10[[#This Row],[Colonne1]],Tableau124[#All],9,FALSE)</f>
        <v>contact@gh70.fr</v>
      </c>
      <c r="K19" s="203" t="str">
        <f>VLOOKUP(Tableau10[[#This Row],[Colonne1]],Tableau124[#All],10,FALSE)</f>
        <v>03 84 62 43 82</v>
      </c>
      <c r="L19" s="265" t="str">
        <f>VLOOKUP(Tableau10[[#This Row],[Colonne1]],Tableau124[#All],11,FALSE)</f>
        <v>https://www.gh70.fr</v>
      </c>
      <c r="M19" s="206" t="str">
        <f>VLOOKUP(Tableau10[[#This Row],[Colonne1]],Tableau124[#All],12,FALSE)</f>
        <v>mardi matin</v>
      </c>
      <c r="N19" s="321" t="str">
        <f>VLOOKUP(Tableau10[[#This Row],[Colonne1]],Tableau124[#All],13,FALSE)</f>
        <v>Intervention auprès de public majeurs et mineurs ainsi qu'au Groupe Hospitalier de la Haute-Saône (GH70)</v>
      </c>
    </row>
    <row r="20" spans="2:14" ht="86.5" customHeight="1">
      <c r="B20" s="139">
        <v>100</v>
      </c>
      <c r="C20" s="343" t="str">
        <f>VLOOKUP(Tableau10[[#This Row],[Colonne1]],Tableau124[#All],2,FALSE)</f>
        <v>Haute-Saône (70)</v>
      </c>
      <c r="D20" s="344" t="str">
        <f>VLOOKUP(Tableau10[[#This Row],[Colonne1]],Tableau124[#All],3,FALSE)</f>
        <v>Luxueil-les-Bains</v>
      </c>
      <c r="E20" s="344">
        <f>VLOOKUP(Tableau10[[#This Row],[Colonne1]],Tableau124[#All],4,FALSE)</f>
        <v>70300</v>
      </c>
      <c r="F20" s="344" t="str">
        <f>VLOOKUP(Tableau10[[#This Row],[Colonne1]],Tableau124[#All],5,FALSE)</f>
        <v>MDA, Place du 8 mai 1945 70300 LUXEUIL-LES-BAINS</v>
      </c>
      <c r="G20" s="344" t="str">
        <f>VLOOKUP(Tableau10[[#This Row],[Colonne1]],Tableau124[#All],6,FALSE)</f>
        <v>CJC</v>
      </c>
      <c r="H20" s="344" t="str">
        <f>VLOOKUP(Tableau10[[#This Row],[Colonne1]],Tableau124[#All],7,FALSE)</f>
        <v>CSAPA Vesoul</v>
      </c>
      <c r="I20" s="344" t="str">
        <f>VLOOKUP(Tableau10[[#This Row],[Colonne1]],Tableau124[#All],8,FALSE)</f>
        <v>Associatif</v>
      </c>
      <c r="J20" s="345" t="str">
        <f>VLOOKUP(Tableau10[[#This Row],[Colonne1]],Tableau124[#All],9,FALSE)</f>
        <v>csapa.vesoul@addictions-france.org</v>
      </c>
      <c r="K20" s="346" t="str">
        <f>VLOOKUP(Tableau10[[#This Row],[Colonne1]],Tableau124[#All],10,FALSE)</f>
        <v>03-84-76-75-75</v>
      </c>
      <c r="L20" s="215"/>
      <c r="M20" s="215"/>
      <c r="N20" s="348" t="str">
        <f>VLOOKUP(Tableau10[[#This Row],[Colonne1]],Tableau124[#All],13,FALSE)</f>
        <v>CJC avancées ; Orientation sur rendez-vous ; accessible à la famille et l'entourage</v>
      </c>
    </row>
    <row r="21" spans="2:14" ht="86.5" customHeight="1">
      <c r="B21" s="139">
        <v>101</v>
      </c>
      <c r="C21" s="135" t="str">
        <f>VLOOKUP(Tableau10[[#This Row],[Colonne1]],Tableau124[#All],2,FALSE)</f>
        <v>Haute-Saône (70)</v>
      </c>
      <c r="D21" s="135" t="str">
        <f>VLOOKUP(Tableau10[[#This Row],[Colonne1]],Tableau124[#All],3,FALSE)</f>
        <v>Noidans-Le-Ferroux</v>
      </c>
      <c r="E21" s="135">
        <f>VLOOKUP(Tableau10[[#This Row],[Colonne1]],Tableau124[#All],4,FALSE)</f>
        <v>70130</v>
      </c>
      <c r="F21" s="135" t="str">
        <f>VLOOKUP(Tableau10[[#This Row],[Colonne1]],Tableau124[#All],5,FALSE)</f>
        <v>Maison Médicale - 20, rue du Centre</v>
      </c>
      <c r="G21" s="135" t="str">
        <f>VLOOKUP(Tableau10[[#This Row],[Colonne1]],Tableau124[#All],6,FALSE)</f>
        <v>CSAPA (consultations avancées)</v>
      </c>
      <c r="H21" s="135" t="str">
        <f>VLOOKUP(Tableau10[[#This Row],[Colonne1]],Tableau124[#All],7,FALSE)</f>
        <v>Association Addictions France en Haute-Saône- consultations avancées</v>
      </c>
      <c r="I21" s="135" t="str">
        <f>VLOOKUP(Tableau10[[#This Row],[Colonne1]],Tableau124[#All],8,FALSE)</f>
        <v>Associatif</v>
      </c>
      <c r="J21" s="269" t="str">
        <f>VLOOKUP(Tableau10[[#This Row],[Colonne1]],Tableau124[#All],9,FALSE)</f>
        <v>csapa.vesoul@addictions-france.org</v>
      </c>
      <c r="K21" s="199" t="str">
        <f>VLOOKUP(Tableau10[[#This Row],[Colonne1]],Tableau124[#All],10,FALSE)</f>
        <v>03-84-76-75-81</v>
      </c>
      <c r="L21" s="268" t="str">
        <f>VLOOKUP(Tableau10[[#This Row],[Colonne1]],Tableau124[#All],11,FALSE)</f>
        <v>https://addictions-france.org</v>
      </c>
      <c r="M21" s="96" t="str">
        <f>VLOOKUP(Tableau10[[#This Row],[Colonne1]],Tableau124[#All],12,FALSE)</f>
        <v>Lundi 9h-12h</v>
      </c>
      <c r="N21" s="245" t="str">
        <f>VLOOKUP(Tableau10[[#This Row],[Colonne1]],Tableau124[#All],13,FALSE)</f>
        <v>Réalisation de consultations avancées
MSMA – Intervention en Microstructure</v>
      </c>
    </row>
    <row r="22" spans="2:14" ht="86.5" customHeight="1">
      <c r="B22" s="139">
        <v>102</v>
      </c>
      <c r="C22" s="135" t="str">
        <f>VLOOKUP(Tableau10[[#This Row],[Colonne1]],Tableau124[#All],2,FALSE)</f>
        <v>Haute-Saône (70)</v>
      </c>
      <c r="D22" s="135" t="str">
        <f>VLOOKUP(Tableau10[[#This Row],[Colonne1]],Tableau124[#All],3,FALSE)</f>
        <v>Rioz</v>
      </c>
      <c r="E22" s="135">
        <f>VLOOKUP(Tableau10[[#This Row],[Colonne1]],Tableau124[#All],4,FALSE)</f>
        <v>70190</v>
      </c>
      <c r="F22" s="135" t="str">
        <f>VLOOKUP(Tableau10[[#This Row],[Colonne1]],Tableau124[#All],5,FALSE)</f>
        <v>CMS - Rue du Clair Soleil</v>
      </c>
      <c r="G22" s="135" t="str">
        <f>VLOOKUP(Tableau10[[#This Row],[Colonne1]],Tableau124[#All],6,FALSE)</f>
        <v>CSAPA (consultations avancées)</v>
      </c>
      <c r="H22" s="135" t="str">
        <f>VLOOKUP(Tableau10[[#This Row],[Colonne1]],Tableau124[#All],7,FALSE)</f>
        <v>Association Addictions France en Haute-Saône - consultations avancées</v>
      </c>
      <c r="I22" s="135" t="str">
        <f>VLOOKUP(Tableau10[[#This Row],[Colonne1]],Tableau124[#All],8,FALSE)</f>
        <v>Associatif</v>
      </c>
      <c r="J22" s="269" t="str">
        <f>VLOOKUP(Tableau10[[#This Row],[Colonne1]],Tableau124[#All],9,FALSE)</f>
        <v>csapa.vesoul@addictions-france.org</v>
      </c>
      <c r="K22" s="199" t="str">
        <f>VLOOKUP(Tableau10[[#This Row],[Colonne1]],Tableau124[#All],10,FALSE)</f>
        <v>03-84-76-75-75</v>
      </c>
      <c r="L22" s="268" t="str">
        <f>VLOOKUP(Tableau10[[#This Row],[Colonne1]],Tableau124[#All],11,FALSE)</f>
        <v>https://addictions-france.org</v>
      </c>
      <c r="M22" s="96" t="str">
        <f>VLOOKUP(Tableau10[[#This Row],[Colonne1]],Tableau124[#All],12,FALSE)</f>
        <v>Jeudi 13h30-17h (1 fois par mois)</v>
      </c>
      <c r="N22" s="245" t="str">
        <f>VLOOKUP(Tableau10[[#This Row],[Colonne1]],Tableau124[#All],13,FALSE)</f>
        <v>Réalisation de consultations avancées</v>
      </c>
    </row>
    <row r="23" spans="2:14" ht="86.5" customHeight="1">
      <c r="B23" s="139">
        <v>106</v>
      </c>
      <c r="C23" s="135" t="str">
        <f>VLOOKUP(Tableau10[[#This Row],[Colonne1]],Tableau124[#All],2,FALSE)</f>
        <v>Haute-Saône (70)</v>
      </c>
      <c r="D23" s="135" t="str">
        <f>VLOOKUP(Tableau10[[#This Row],[Colonne1]],Tableau124[#All],3,FALSE)</f>
        <v>Vesoul</v>
      </c>
      <c r="E23" s="135" t="str">
        <f>VLOOKUP(Tableau10[[#This Row],[Colonne1]],Tableau124[#All],4,FALSE)</f>
        <v>70000</v>
      </c>
      <c r="F23" s="135" t="str">
        <f>VLOOKUP(Tableau10[[#This Row],[Colonne1]],Tableau124[#All],5,FALSE)</f>
        <v>27 Av. Aristide Briand</v>
      </c>
      <c r="G23" s="135" t="str">
        <f>VLOOKUP(Tableau10[[#This Row],[Colonne1]],Tableau124[#All],6,FALSE)</f>
        <v>CSAPA</v>
      </c>
      <c r="H23" s="135" t="str">
        <f>VLOOKUP(Tableau10[[#This Row],[Colonne1]],Tableau124[#All],7,FALSE)</f>
        <v>Association Addictions France en Haute-Saône</v>
      </c>
      <c r="I23" s="135" t="str">
        <f>VLOOKUP(Tableau10[[#This Row],[Colonne1]],Tableau124[#All],8,FALSE)</f>
        <v>Associatif</v>
      </c>
      <c r="J23" s="269" t="str">
        <f>VLOOKUP(Tableau10[[#This Row],[Colonne1]],Tableau124[#All],9,FALSE)</f>
        <v>csapa.vesoul@addictions-france.org</v>
      </c>
      <c r="K23" s="199" t="str">
        <f>VLOOKUP(Tableau10[[#This Row],[Colonne1]],Tableau124[#All],10,FALSE)</f>
        <v>03-84-76-75-75</v>
      </c>
      <c r="L23" s="268" t="str">
        <f>VLOOKUP(Tableau10[[#This Row],[Colonne1]],Tableau124[#All],11,FALSE)</f>
        <v>https://addictions-france.org</v>
      </c>
      <c r="M23" s="96" t="str">
        <f>VLOOKUP(Tableau10[[#This Row],[Colonne1]],Tableau124[#All],12,FALSE)</f>
        <v xml:space="preserve">Lundi au vendredi : 9h - 12h30 / 13h - 17h (ouverture du secrétariat) 
Mardi et mercredi :  9h - 12h30 / 13h - 19h (consultations)
</v>
      </c>
      <c r="N23" s="436" t="str">
        <f>VLOOKUP(Tableau10[[#This Row],[Colonne1]],Tableau124[#All],13,FALSE)</f>
        <v>- Réalisation de consultations avancées sur Vesoul, Fontaine-les-Dijon, Avallon, Vesoul, Lure,  Vesoul, Gray, Luxeuil-les-Bains, Noidans-Le-Ferroux, CPP Gray, Vesoul, Jussey, Rioz ;
- intervention en milieu pénitentiaire à la maison d'arrêt de Vesoul
- mise à disposition de matériel de consommation à moindre risque ;
- dispositifs anti-overdose à disposition ; 
- présence d'une CJC
- 2 antennes : à Gray et Luxueil les Bains</v>
      </c>
    </row>
    <row r="24" spans="2:14" ht="86.5" customHeight="1">
      <c r="B24" s="139">
        <v>107</v>
      </c>
      <c r="C24" s="186" t="str">
        <f>VLOOKUP(Tableau10[[#This Row],[Colonne1]],Tableau124[#All],2,FALSE)</f>
        <v>Haute-Saône (70)</v>
      </c>
      <c r="D24" s="186" t="str">
        <f>VLOOKUP(Tableau10[[#This Row],[Colonne1]],Tableau124[#All],3,FALSE)</f>
        <v>Vesoul</v>
      </c>
      <c r="E24" s="186">
        <f>VLOOKUP(Tableau10[[#This Row],[Colonne1]],Tableau124[#All],4,FALSE)</f>
        <v>70000</v>
      </c>
      <c r="F24" s="186" t="str">
        <f>VLOOKUP(Tableau10[[#This Row],[Colonne1]],Tableau124[#All],5,FALSE)</f>
        <v>MDA de Vesoul - 19, rue de la Banque</v>
      </c>
      <c r="G24" s="186" t="str">
        <f>VLOOKUP(Tableau10[[#This Row],[Colonne1]],Tableau124[#All],6,FALSE)</f>
        <v>CSAPA (consultations avancées)</v>
      </c>
      <c r="H24" s="186" t="str">
        <f>VLOOKUP(Tableau10[[#This Row],[Colonne1]],Tableau124[#All],7,FALSE)</f>
        <v>Association Addictions France en Haute-Saône - consultations avancées</v>
      </c>
      <c r="I24" s="186" t="str">
        <f>VLOOKUP(Tableau10[[#This Row],[Colonne1]],Tableau124[#All],8,FALSE)</f>
        <v>Associatif</v>
      </c>
      <c r="J24" s="268" t="str">
        <f>VLOOKUP(Tableau10[[#This Row],[Colonne1]],Tableau124[#All],9,FALSE)</f>
        <v>bfc70@addictions-france.org</v>
      </c>
      <c r="K24" s="205" t="str">
        <f>VLOOKUP(Tableau10[[#This Row],[Colonne1]],Tableau124[#All],10,FALSE)</f>
        <v>03-84-76-75-78</v>
      </c>
      <c r="L24" s="268" t="str">
        <f>VLOOKUP(Tableau10[[#This Row],[Colonne1]],Tableau124[#All],11,FALSE)</f>
        <v>https://addictions-france.org</v>
      </c>
      <c r="M24" s="96" t="str">
        <f>VLOOKUP(Tableau10[[#This Row],[Colonne1]],Tableau124[#All],12,FALSE)</f>
        <v>Jeudi 12h30 -16h</v>
      </c>
      <c r="N24" s="448" t="str">
        <f>VLOOKUP(Tableau10[[#This Row],[Colonne1]],Tableau124[#All],13,FALSE)</f>
        <v>Réalisation de consultations avancées</v>
      </c>
    </row>
    <row r="25" spans="2:14" ht="86.5" customHeight="1">
      <c r="B25" s="139">
        <v>108</v>
      </c>
      <c r="C25" s="135" t="str">
        <f>VLOOKUP(Tableau10[[#This Row],[Colonne1]],Tableau124[#All],2,FALSE)</f>
        <v>Haute-Saône (70)</v>
      </c>
      <c r="D25" s="135" t="str">
        <f>VLOOKUP(Tableau10[[#This Row],[Colonne1]],Tableau124[#All],3,FALSE)</f>
        <v>Vesoul</v>
      </c>
      <c r="E25" s="135">
        <f>VLOOKUP(Tableau10[[#This Row],[Colonne1]],Tableau124[#All],4,FALSE)</f>
        <v>70000</v>
      </c>
      <c r="F25" s="135" t="str">
        <f>VLOOKUP(Tableau10[[#This Row],[Colonne1]],Tableau124[#All],5,FALSE)</f>
        <v>AHSRA - 2, rue René Hologne</v>
      </c>
      <c r="G25" s="135" t="str">
        <f>VLOOKUP(Tableau10[[#This Row],[Colonne1]],Tableau124[#All],6,FALSE)</f>
        <v>CSAPA (consultations avancées)</v>
      </c>
      <c r="H25" s="135" t="str">
        <f>VLOOKUP(Tableau10[[#This Row],[Colonne1]],Tableau124[#All],7,FALSE)</f>
        <v>Association Addictions France en Haute-Saône - consultations avancées</v>
      </c>
      <c r="I25" s="135" t="str">
        <f>VLOOKUP(Tableau10[[#This Row],[Colonne1]],Tableau124[#All],8,FALSE)</f>
        <v>Associatif</v>
      </c>
      <c r="J25" s="268" t="str">
        <f>VLOOKUP(Tableau10[[#This Row],[Colonne1]],Tableau124[#All],9,FALSE)</f>
        <v>csapa.vesoul@addictions-france.org</v>
      </c>
      <c r="K25" s="205" t="str">
        <f>VLOOKUP(Tableau10[[#This Row],[Colonne1]],Tableau124[#All],10,FALSE)</f>
        <v>03-84-76-75-75</v>
      </c>
      <c r="L25" s="268" t="str">
        <f>VLOOKUP(Tableau10[[#This Row],[Colonne1]],Tableau124[#All],11,FALSE)</f>
        <v>https://addictions-france.org</v>
      </c>
      <c r="M25" s="100" t="str">
        <f>VLOOKUP(Tableau10[[#This Row],[Colonne1]],Tableau124[#All],12,FALSE)</f>
        <v xml:space="preserve"> Jeudi 9h-12h (semaines impaires) </v>
      </c>
      <c r="N25" s="245" t="str">
        <f>VLOOKUP(Tableau10[[#This Row],[Colonne1]],Tableau124[#All],13,FALSE)</f>
        <v>Réalisation de consultations avancées
Consultations avancées en CHRS</v>
      </c>
    </row>
    <row r="26" spans="2:14" ht="86.5" customHeight="1">
      <c r="B26" s="139">
        <v>109</v>
      </c>
      <c r="C26" s="135" t="str">
        <f>VLOOKUP(Tableau10[[#This Row],[Colonne1]],Tableau124[#All],2,FALSE)</f>
        <v>Haute-Saône (70)</v>
      </c>
      <c r="D26" s="135" t="str">
        <f>VLOOKUP(Tableau10[[#This Row],[Colonne1]],Tableau124[#All],3,FALSE)</f>
        <v>Vesoul</v>
      </c>
      <c r="E26" s="135">
        <f>VLOOKUP(Tableau10[[#This Row],[Colonne1]],Tableau124[#All],4,FALSE)</f>
        <v>70000</v>
      </c>
      <c r="F26" s="135" t="str">
        <f>VLOOKUP(Tableau10[[#This Row],[Colonne1]],Tableau124[#All],5,FALSE)</f>
        <v>Maison d'Arrêt - Place Beauchamp</v>
      </c>
      <c r="G26" s="135" t="str">
        <f>VLOOKUP(Tableau10[[#This Row],[Colonne1]],Tableau124[#All],6,FALSE)</f>
        <v>CSAPA (consultations avancées)</v>
      </c>
      <c r="H26" s="135" t="str">
        <f>VLOOKUP(Tableau10[[#This Row],[Colonne1]],Tableau124[#All],7,FALSE)</f>
        <v>Association Addictions France en Haute-Saône - consultations avancées</v>
      </c>
      <c r="I26" s="135" t="str">
        <f>VLOOKUP(Tableau10[[#This Row],[Colonne1]],Tableau124[#All],8,FALSE)</f>
        <v>Associatif</v>
      </c>
      <c r="J26" s="272" t="str">
        <f>VLOOKUP(Tableau10[[#This Row],[Colonne1]],Tableau124[#All],9,FALSE)</f>
        <v>csapa.vesoul@addictions-france.org</v>
      </c>
      <c r="K26" s="204" t="str">
        <f>VLOOKUP(Tableau10[[#This Row],[Colonne1]],Tableau124[#All],10,FALSE)</f>
        <v xml:space="preserve"> 03-84-76-75-75</v>
      </c>
      <c r="L26" s="268" t="str">
        <f>VLOOKUP(Tableau10[[#This Row],[Colonne1]],Tableau124[#All],11,FALSE)</f>
        <v>https://addictions-france.org</v>
      </c>
      <c r="M26" s="135" t="str">
        <f>VLOOKUP(Tableau10[[#This Row],[Colonne1]],Tableau124[#All],12,FALSE)</f>
        <v>Jeudi 13h30-16h30</v>
      </c>
      <c r="N26" s="552" t="str">
        <f>VLOOKUP(Tableau10[[#This Row],[Colonne1]],Tableau124[#All],13,FALSE)</f>
        <v>Réalisation de consultations avancées</v>
      </c>
    </row>
    <row r="27" spans="2:14" ht="86.5" customHeight="1">
      <c r="B27" s="139">
        <v>103</v>
      </c>
      <c r="C27" s="171" t="str">
        <f>VLOOKUP(Tableau10[[#This Row],[Colonne1]],Tableau124[#All],2,FALSE)</f>
        <v>Haute-Saône (70)</v>
      </c>
      <c r="D27" s="171" t="str">
        <f>VLOOKUP(Tableau10[[#This Row],[Colonne1]],Tableau124[#All],3,FALSE)</f>
        <v>Vesoul</v>
      </c>
      <c r="E27" s="171" t="str">
        <f>VLOOKUP(Tableau10[[#This Row],[Colonne1]],Tableau124[#All],4,FALSE)</f>
        <v>70000</v>
      </c>
      <c r="F27" s="171" t="str">
        <f>VLOOKUP(Tableau10[[#This Row],[Colonne1]],Tableau124[#All],5,FALSE)</f>
        <v>27 Av. Aristide Briand</v>
      </c>
      <c r="G27" s="171" t="str">
        <f>VLOOKUP(Tableau10[[#This Row],[Colonne1]],Tableau124[#All],6,FALSE)</f>
        <v>CAARUD</v>
      </c>
      <c r="H27" s="171" t="str">
        <f>VLOOKUP(Tableau10[[#This Row],[Colonne1]],Tableau124[#All],7,FALSE)</f>
        <v>Association Addictions France en Haute-Saône</v>
      </c>
      <c r="I27" s="171" t="str">
        <f>VLOOKUP(Tableau10[[#This Row],[Colonne1]],Tableau124[#All],8,FALSE)</f>
        <v>Associatif</v>
      </c>
      <c r="J27" s="298" t="str">
        <f>VLOOKUP(Tableau10[[#This Row],[Colonne1]],Tableau124[#All],9,FALSE)</f>
        <v>caarud.vesoul@addictions-france.org</v>
      </c>
      <c r="K27" s="210">
        <f>VLOOKUP(Tableau10[[#This Row],[Colonne1]],Tableau124[#All],10,FALSE)</f>
        <v>384767575</v>
      </c>
      <c r="L27" s="297" t="str">
        <f>VLOOKUP(Tableau10[[#This Row],[Colonne1]],Tableau124[#All],11,FALSE)</f>
        <v>https://addictions-france.org</v>
      </c>
      <c r="M27" s="221" t="str">
        <f>VLOOKUP(Tableau10[[#This Row],[Colonne1]],Tableau124[#All],12,FALSE)</f>
        <v>Lundi : 10h-12h / 13h30 - 16h
Mardi : 9h 12h  
Jeudi : 9h-12h / 13h30 - 16h
Vendredi : sur rendez-vous</v>
      </c>
      <c r="N27" s="341" t="str">
        <f>VLOOKUP(Tableau10[[#This Row],[Colonne1]],Tableau124[#All],13,FALSE)</f>
        <v>- Unité mobile pouvant servir de lieu d'accueil (déplacement possible sur l’ensemble du territoire Haut-Saônois) ; 
- Programme d'échange de seringues ;
- Intervention en maraude ; 
- Intervention en milieu festif.</v>
      </c>
    </row>
    <row r="28" spans="2:14" ht="86.5" customHeight="1">
      <c r="B28" s="139">
        <v>104</v>
      </c>
      <c r="C28" s="343" t="str">
        <f>VLOOKUP(Tableau10[[#This Row],[Colonne1]],Tableau124[#All],2,FALSE)</f>
        <v>Haute-Saône (70)</v>
      </c>
      <c r="D28" s="343" t="str">
        <f>VLOOKUP(Tableau10[[#This Row],[Colonne1]],Tableau124[#All],3,FALSE)</f>
        <v>Vesoul</v>
      </c>
      <c r="E28" s="343" t="str">
        <f>VLOOKUP(Tableau10[[#This Row],[Colonne1]],Tableau124[#All],4,FALSE)</f>
        <v>70000</v>
      </c>
      <c r="F28" s="343" t="str">
        <f>VLOOKUP(Tableau10[[#This Row],[Colonne1]],Tableau124[#All],5,FALSE)</f>
        <v>27 Av. Aristide Briand</v>
      </c>
      <c r="G28" s="343" t="str">
        <f>VLOOKUP(Tableau10[[#This Row],[Colonne1]],Tableau124[#All],6,FALSE)</f>
        <v>CJC</v>
      </c>
      <c r="H28" s="343" t="str">
        <f>VLOOKUP(Tableau10[[#This Row],[Colonne1]],Tableau124[#All],7,FALSE)</f>
        <v>Association Addictions France en Haute-Saône</v>
      </c>
      <c r="I28" s="343" t="str">
        <f>VLOOKUP(Tableau10[[#This Row],[Colonne1]],Tableau124[#All],8,FALSE)</f>
        <v>Associatif</v>
      </c>
      <c r="J28" s="345" t="str">
        <f>VLOOKUP(Tableau10[[#This Row],[Colonne1]],Tableau124[#All],9,FALSE)</f>
        <v>csapa.vesoul@addictions-france.org</v>
      </c>
      <c r="K28" s="346" t="str">
        <f>VLOOKUP(Tableau10[[#This Row],[Colonne1]],Tableau124[#All],10,FALSE)</f>
        <v>03-84-76-75-75</v>
      </c>
      <c r="L28" s="549" t="str">
        <f>VLOOKUP(Tableau10[[#This Row],[Colonne1]],Tableau124[#All],11,FALSE)</f>
        <v>https://addictions-france.org</v>
      </c>
      <c r="M28" s="347" t="str">
        <f>VLOOKUP(Tableau10[[#This Row],[Colonne1]],Tableau124[#All],12,FALSE)</f>
        <v xml:space="preserve">Lundi, jeudi et vendredi : 8h30-12h30 / 13h-17h
Mardi : 8h30-12h30 / 13h-19h (fermeture de 14h à 16h les 2èmes mardis du mois)
Mercredi 13h-16h30 (semaines impaires) </v>
      </c>
      <c r="N28" s="437" t="str">
        <f>VLOOKUP(Tableau10[[#This Row],[Colonne1]],Tableau124[#All],13,FALSE)</f>
        <v>- Accueil des familles ; 
- Orientation sur rendez-vous ;
- CJC accessible à la famille et l'entourage ; 
- locaux identiques à ceux du CSAPA. 
Accessible à la famille et l'entourage</v>
      </c>
    </row>
    <row r="29" spans="2:14" ht="86.5" customHeight="1">
      <c r="B29" s="139">
        <v>105</v>
      </c>
      <c r="C29" s="104" t="str">
        <f>VLOOKUP(Tableau10[[#This Row],[Colonne1]],Tableau124[#All],2,FALSE)</f>
        <v>Haute-Saône (70)</v>
      </c>
      <c r="D29" s="104" t="str">
        <f>VLOOKUP(Tableau10[[#This Row],[Colonne1]],Tableau124[#All],3,FALSE)</f>
        <v>Vesoul</v>
      </c>
      <c r="E29" s="104">
        <f>VLOOKUP(Tableau10[[#This Row],[Colonne1]],Tableau124[#All],4,FALSE)</f>
        <v>70000</v>
      </c>
      <c r="F29" s="104" t="str">
        <f>VLOOKUP(Tableau10[[#This Row],[Colonne1]],Tableau124[#All],5,FALSE)</f>
        <v>2 Rue René Heymes</v>
      </c>
      <c r="G29" s="104" t="str">
        <f>VLOOKUP(Tableau10[[#This Row],[Colonne1]],Tableau124[#All],6,FALSE)</f>
        <v>Consultations Hospitalières externes d'addictologie (autre lieu d'intervention)</v>
      </c>
      <c r="H29" s="104" t="str">
        <f>VLOOKUP(Tableau10[[#This Row],[Colonne1]],Tableau124[#All],7,FALSE)</f>
        <v>Consultation d'addictologie et de tabacologie (Groupe Hospitalier de la Haute-Saône (GH70))</v>
      </c>
      <c r="I29" s="104" t="str">
        <f>VLOOKUP(Tableau10[[#This Row],[Colonne1]],Tableau124[#All],8,FALSE)</f>
        <v>Public</v>
      </c>
      <c r="J29" s="265" t="str">
        <f>VLOOKUP(Tableau10[[#This Row],[Colonne1]],Tableau124[#All],9,FALSE)</f>
        <v>contact@gh70.fr</v>
      </c>
      <c r="K29" s="203" t="str">
        <f>VLOOKUP(Tableau10[[#This Row],[Colonne1]],Tableau124[#All],10,FALSE)</f>
        <v>03 84 62 43 82</v>
      </c>
      <c r="L29" s="264" t="str">
        <f>VLOOKUP(Tableau10[[#This Row],[Colonne1]],Tableau124[#All],11,FALSE)</f>
        <v>https://www.gh70.fr</v>
      </c>
      <c r="M29" s="206" t="str">
        <f>VLOOKUP(Tableau10[[#This Row],[Colonne1]],Tableau124[#All],12,FALSE)</f>
        <v>9h - 17h du lundi au vendredi</v>
      </c>
      <c r="N29" s="340" t="str">
        <f>VLOOKUP(Tableau10[[#This Row],[Colonne1]],Tableau124[#All],13,FALSE)</f>
        <v>Intervention auprès de public majeurs et mineurs ainsi qu'au Groupe Hospitalier de la Haute-Saône (GH70)</v>
      </c>
    </row>
    <row r="30" spans="2:14" ht="86.5" customHeight="1">
      <c r="B30" s="139">
        <v>114</v>
      </c>
      <c r="C30" s="343" t="str">
        <f>VLOOKUP(Tableau10[[#This Row],[Colonne1]],Tableau124[#All],2,FALSE)</f>
        <v>Haute-Saône (70)</v>
      </c>
      <c r="D30" s="344" t="str">
        <f>VLOOKUP(Tableau10[[#This Row],[Colonne1]],Tableau124[#All],3,FALSE)</f>
        <v>Vesoul</v>
      </c>
      <c r="E30" s="344">
        <f>VLOOKUP(Tableau10[[#This Row],[Colonne1]],Tableau124[#All],4,FALSE)</f>
        <v>70000</v>
      </c>
      <c r="F30" s="344" t="str">
        <f>VLOOKUP(Tableau10[[#This Row],[Colonne1]],Tableau124[#All],5,FALSE)</f>
        <v>MDA Vesoul : 19 rue de la Banque 4ème étage</v>
      </c>
      <c r="G30" s="343" t="str">
        <f>VLOOKUP(Tableau10[[#This Row],[Colonne1]],Tableau124[#All],6,FALSE)</f>
        <v>CJC</v>
      </c>
      <c r="H30" s="343" t="str">
        <f>VLOOKUP(Tableau10[[#This Row],[Colonne1]],Tableau124[#All],7,FALSE)</f>
        <v>CSAPA Vesoul</v>
      </c>
      <c r="I30" s="344" t="str">
        <f>VLOOKUP(Tableau10[[#This Row],[Colonne1]],Tableau124[#All],8,FALSE)</f>
        <v>Associatif</v>
      </c>
      <c r="J30" s="345" t="str">
        <f>VLOOKUP(Tableau10[[#This Row],[Colonne1]],Tableau124[#All],9,FALSE)</f>
        <v>csapa.vesoul@addictions-france.org</v>
      </c>
      <c r="K30" s="346" t="str">
        <f>VLOOKUP(Tableau10[[#This Row],[Colonne1]],Tableau124[#All],10,FALSE)</f>
        <v>03-84-76-75-75</v>
      </c>
      <c r="L30" s="345" t="str">
        <f>VLOOKUP(Tableau10[[#This Row],[Colonne1]],Tableau124[#All],11,FALSE)</f>
        <v>https://addictions-france.org</v>
      </c>
      <c r="M30" s="215"/>
      <c r="N30" s="348" t="str">
        <f>VLOOKUP(Tableau10[[#This Row],[Colonne1]],Tableau124[#All],13,FALSE)</f>
        <v>CJC avancées ; Orientation sur rendez-vous ; accessible à la famille et l'entourage</v>
      </c>
    </row>
    <row r="31" spans="2:14" ht="86.5" customHeight="1">
      <c r="B31" s="139">
        <v>110</v>
      </c>
      <c r="C31" s="119" t="str">
        <f>VLOOKUP(Tableau10[[#This Row],[Colonne1]],Tableau124[#All],2,FALSE)</f>
        <v>Haute-Saône (70)</v>
      </c>
      <c r="D31" s="119" t="str">
        <f>VLOOKUP(Tableau10[[#This Row],[Colonne1]],Tableau124[#All],3,FALSE)</f>
        <v>Vesoul</v>
      </c>
      <c r="E31" s="119" t="str">
        <f>VLOOKUP(Tableau10[[#This Row],[Colonne1]],Tableau124[#All],4,FALSE)</f>
        <v>70000</v>
      </c>
      <c r="F31" s="119" t="str">
        <f>VLOOKUP(Tableau10[[#This Row],[Colonne1]],Tableau124[#All],5,FALSE)</f>
        <v>Groupe Hospitalier de la Haute-Saône (GH70), 2 rue René Heymes, Dans plusieurs services</v>
      </c>
      <c r="G31" s="121" t="str">
        <f>VLOOKUP(Tableau10[[#This Row],[Colonne1]],Tableau124[#All],6,FALSE)</f>
        <v>ELSA</v>
      </c>
      <c r="H31" s="119" t="str">
        <f>VLOOKUP(Tableau10[[#This Row],[Colonne1]],Tableau124[#All],7,FALSE)</f>
        <v>Groupe Hospitalier de la Haute-Saône (GH70)</v>
      </c>
      <c r="I31" s="119" t="str">
        <f>VLOOKUP(Tableau10[[#This Row],[Colonne1]],Tableau124[#All],8,FALSE)</f>
        <v>Public</v>
      </c>
      <c r="J31" s="276" t="str">
        <f>VLOOKUP(Tableau10[[#This Row],[Colonne1]],Tableau124[#All],9,FALSE)</f>
        <v>contact@gh70.fr</v>
      </c>
      <c r="K31" s="308" t="str">
        <f>VLOOKUP(Tableau10[[#This Row],[Colonne1]],Tableau124[#All],10,FALSE)</f>
        <v>03 84 96 29 66</v>
      </c>
      <c r="L31" s="276" t="str">
        <f>VLOOKUP(Tableau10[[#This Row],[Colonne1]],Tableau124[#All],11,FALSE)</f>
        <v>https://www.gh70.fr</v>
      </c>
      <c r="M31" s="215" t="str">
        <f>VLOOKUP(Tableau10[[#This Row],[Colonne1]],Tableau124[#All],12,FALSE)</f>
        <v xml:space="preserve">  </v>
      </c>
      <c r="N31" s="322" t="str">
        <f>VLOOKUP(Tableau10[[#This Row],[Colonne1]],Tableau124[#All],13,FALSE)</f>
        <v>- intervention auprès de public majeur ; 
- L'ELSA intervient tous les jours et à titre systématique aux urgences et dans tous les services de tous les sites du GH sur demande des services.</v>
      </c>
    </row>
    <row r="32" spans="2:14" ht="86.5" customHeight="1">
      <c r="B32" s="139">
        <v>111</v>
      </c>
      <c r="C32" s="93" t="str">
        <f>VLOOKUP(Tableau10[[#This Row],[Colonne1]],Tableau124[#All],2,FALSE)</f>
        <v>Haute-Saône (70)</v>
      </c>
      <c r="D32" s="93" t="str">
        <f>VLOOKUP(Tableau10[[#This Row],[Colonne1]],Tableau124[#All],3,FALSE)</f>
        <v>Vesoul</v>
      </c>
      <c r="E32" s="93" t="str">
        <f>VLOOKUP(Tableau10[[#This Row],[Colonne1]],Tableau124[#All],4,FALSE)</f>
        <v>70000</v>
      </c>
      <c r="F32" s="93" t="str">
        <f>VLOOKUP(Tableau10[[#This Row],[Colonne1]],Tableau124[#All],5,FALSE)</f>
        <v>GH70 site de LURE
37 avenue Carnot</v>
      </c>
      <c r="G32" s="93" t="str">
        <f>VLOOKUP(Tableau10[[#This Row],[Colonne1]],Tableau124[#All],6,FALSE)</f>
        <v>Sevrage simple</v>
      </c>
      <c r="H32" s="193" t="str">
        <f>VLOOKUP(Tableau10[[#This Row],[Colonne1]],Tableau124[#All],7,FALSE)</f>
        <v>Groupe Hospitalier de la Haute-Saône (GH70)</v>
      </c>
      <c r="I32" s="93" t="str">
        <f>VLOOKUP(Tableau10[[#This Row],[Colonne1]],Tableau124[#All],8,FALSE)</f>
        <v>Public</v>
      </c>
      <c r="J32" s="280" t="str">
        <f>VLOOKUP(Tableau10[[#This Row],[Colonne1]],Tableau124[#All],9,FALSE)</f>
        <v>contact@gh70.fr</v>
      </c>
      <c r="K32" s="332" t="str">
        <f>VLOOKUP(Tableau10[[#This Row],[Colonne1]],Tableau124[#All],10,FALSE)</f>
        <v>03 84 62 43 92</v>
      </c>
      <c r="L32" s="280" t="str">
        <f>VLOOKUP(Tableau10[[#This Row],[Colonne1]],Tableau124[#All],11,FALSE)</f>
        <v>https://www.gh70.fr</v>
      </c>
      <c r="M32" s="215" t="str">
        <f>VLOOKUP(Tableau10[[#This Row],[Colonne1]],Tableau124[#All],12,FALSE)</f>
        <v xml:space="preserve">  </v>
      </c>
      <c r="N32" s="323" t="str">
        <f>VLOOKUP(Tableau10[[#This Row],[Colonne1]],Tableau124[#All],13,FALSE)</f>
        <v xml:space="preserve">- interventions auprès d'un public majeur ; 
- lits installés au sein d'une même unité ; 
- unité d'addictologie
</v>
      </c>
    </row>
    <row r="33" spans="1:14" ht="86.5" customHeight="1">
      <c r="B33" s="139">
        <v>112</v>
      </c>
      <c r="C33" s="208" t="str">
        <f>VLOOKUP(Tableau10[[#This Row],[Colonne1]],Tableau124[#All],2,FALSE)</f>
        <v>Haute-Saône (70)</v>
      </c>
      <c r="D33" s="208" t="str">
        <f>VLOOKUP(Tableau10[[#This Row],[Colonne1]],Tableau124[#All],3,FALSE)</f>
        <v>Vesoul</v>
      </c>
      <c r="E33" s="208" t="str">
        <f>VLOOKUP(Tableau10[[#This Row],[Colonne1]],Tableau124[#All],4,FALSE)</f>
        <v>70000</v>
      </c>
      <c r="F33" s="208" t="str">
        <f>VLOOKUP(Tableau10[[#This Row],[Colonne1]],Tableau124[#All],5,FALSE)</f>
        <v>GH70 site de LURE
37 avenue Carnot</v>
      </c>
      <c r="G33" s="523" t="str">
        <f>VLOOKUP(Tableau10[[#This Row],[Colonne1]],Tableau124[#All],6,FALSE)</f>
        <v>Soins complexes</v>
      </c>
      <c r="H33" s="208" t="str">
        <f>VLOOKUP(Tableau10[[#This Row],[Colonne1]],Tableau124[#All],7,FALSE)</f>
        <v>Groupe Hospitalier de la Haute-Saône (GH70)</v>
      </c>
      <c r="I33" s="208" t="str">
        <f>VLOOKUP(Tableau10[[#This Row],[Colonne1]],Tableau124[#All],8,FALSE)</f>
        <v>Public</v>
      </c>
      <c r="J33" s="288" t="str">
        <f>VLOOKUP(Tableau10[[#This Row],[Colonne1]],Tableau124[#All],9,FALSE)</f>
        <v>contact@gh70.fr</v>
      </c>
      <c r="K33" s="316" t="str">
        <f>VLOOKUP(Tableau10[[#This Row],[Colonne1]],Tableau124[#All],10,FALSE)</f>
        <v>03 84 62 43 92</v>
      </c>
      <c r="L33" s="288" t="str">
        <f>VLOOKUP(Tableau10[[#This Row],[Colonne1]],Tableau124[#All],11,FALSE)</f>
        <v>https://www.gh70.fr</v>
      </c>
      <c r="M33" s="215" t="str">
        <f>VLOOKUP(Tableau10[[#This Row],[Colonne1]],Tableau124[#All],12,FALSE)</f>
        <v xml:space="preserve">   </v>
      </c>
      <c r="N33" s="551" t="str">
        <f>VLOOKUP(Tableau10[[#This Row],[Colonne1]],Tableau124[#All],13,FALSE)</f>
        <v xml:space="preserve">- intervention auprès de public majeur ; 
- accueille également des patients pour des sevrages simples </v>
      </c>
    </row>
    <row r="34" spans="1:14" s="70" customFormat="1" ht="86.5" customHeight="1">
      <c r="A34" s="49"/>
      <c r="B34" s="157">
        <v>113</v>
      </c>
      <c r="C34" s="182" t="str">
        <f>VLOOKUP(Tableau10[[#This Row],[Colonne1]],Tableau124[#All],2,FALSE)</f>
        <v>Haute-Saône (70)</v>
      </c>
      <c r="D34" s="182" t="str">
        <f>VLOOKUP(Tableau10[[#This Row],[Colonne1]],Tableau124[#All],3,FALSE)</f>
        <v>Vesoul</v>
      </c>
      <c r="E34" s="182" t="str">
        <f>VLOOKUP(Tableau10[[#This Row],[Colonne1]],Tableau124[#All],4,FALSE)</f>
        <v>70000</v>
      </c>
      <c r="F34" s="182" t="str">
        <f>VLOOKUP(Tableau10[[#This Row],[Colonne1]],Tableau124[#All],5,FALSE)</f>
        <v>Groupe Hospitalier de la Haute-Saône site de LURE
37 avenue Carnot</v>
      </c>
      <c r="G34" s="183" t="str">
        <f>VLOOKUP(Tableau10[[#This Row],[Colonne1]],Tableau124[#All],6,FALSE)</f>
        <v>Unité d'hospitalisation de jour</v>
      </c>
      <c r="H34" s="182" t="str">
        <f>VLOOKUP(Tableau10[[#This Row],[Colonne1]],Tableau124[#All],7,FALSE)</f>
        <v>Groupe Hospitalier de la Haute-Saône (GH70)</v>
      </c>
      <c r="I34" s="182" t="str">
        <f>VLOOKUP(Tableau10[[#This Row],[Colonne1]],Tableau124[#All],8,FALSE)</f>
        <v>Public</v>
      </c>
      <c r="J34" s="294" t="str">
        <f>VLOOKUP(Tableau10[[#This Row],[Colonne1]],Tableau124[#All],9,FALSE)</f>
        <v>contact@gh70.fr</v>
      </c>
      <c r="K34" s="313" t="str">
        <f>VLOOKUP(Tableau10[[#This Row],[Colonne1]],Tableau124[#All],10,FALSE)</f>
        <v>03 84 62 43 76</v>
      </c>
      <c r="L34" s="294" t="str">
        <f>VLOOKUP(Tableau10[[#This Row],[Colonne1]],Tableau124[#All],11,FALSE)</f>
        <v>https://www.gh70.fr</v>
      </c>
      <c r="M34" s="182" t="str">
        <f>VLOOKUP(Tableau10[[#This Row],[Colonne1]],Tableau124[#All],12,FALSE)</f>
        <v>- 8h30 à 17h00 du lundi au vendredi</v>
      </c>
      <c r="N34" s="296" t="str">
        <f>VLOOKUP(Tableau10[[#This Row],[Colonne1]],Tableau124[#All],13,FALSE)</f>
        <v>- intervention auprès d'un public majeur</v>
      </c>
    </row>
    <row r="35" spans="1:14" ht="86.5" customHeight="1">
      <c r="B35" s="169">
        <v>115</v>
      </c>
      <c r="C35" s="135" t="str">
        <f>VLOOKUP(Tableau10[[#This Row],[Colonne1]],Tableau124[#All],2,FALSE)</f>
        <v>Haute-Saône (70)</v>
      </c>
      <c r="D35" s="135" t="str">
        <f>VLOOKUP(Tableau10[[#This Row],[Colonne1]],Tableau124[#All],3,FALSE)</f>
        <v xml:space="preserve">Vesoul </v>
      </c>
      <c r="E35" s="135">
        <f>VLOOKUP(Tableau10[[#This Row],[Colonne1]],Tableau124[#All],4,FALSE)</f>
        <v>70000</v>
      </c>
      <c r="F35" s="135" t="str">
        <f>VLOOKUP(Tableau10[[#This Row],[Colonne1]],Tableau124[#All],5,FALSE)</f>
        <v>SAFED – 100 rue Baron Bouvier</v>
      </c>
      <c r="G35" s="135" t="str">
        <f>VLOOKUP(Tableau10[[#This Row],[Colonne1]],Tableau124[#All],6,FALSE)</f>
        <v>CSAPA (consultations avancées)</v>
      </c>
      <c r="H35" s="135" t="str">
        <f>VLOOKUP(Tableau10[[#This Row],[Colonne1]],Tableau124[#All],7,FALSE)</f>
        <v>Association Addictions France en Haute-Saône</v>
      </c>
      <c r="I35" s="135" t="str">
        <f>VLOOKUP(Tableau10[[#This Row],[Colonne1]],Tableau124[#All],8,FALSE)</f>
        <v>Associatif</v>
      </c>
      <c r="J35" s="275" t="str">
        <f>VLOOKUP(Tableau10[[#This Row],[Colonne1]],Tableau124[#All],9,FALSE)</f>
        <v xml:space="preserve"> csapa.vesoul@addictions-france.org</v>
      </c>
      <c r="K35" s="204" t="str">
        <f>VLOOKUP(Tableau10[[#This Row],[Colonne1]],Tableau124[#All],10,FALSE)</f>
        <v>03-84-76-75-75</v>
      </c>
      <c r="L35" s="275" t="str">
        <f>VLOOKUP(Tableau10[[#This Row],[Colonne1]],Tableau124[#All],11,FALSE)</f>
        <v>https://addictions-france.org</v>
      </c>
      <c r="M35" s="135" t="str">
        <f>VLOOKUP(Tableau10[[#This Row],[Colonne1]],Tableau124[#All],12,FALSE)</f>
        <v xml:space="preserve"> Vendredi 14h-16h (semaines paires) </v>
      </c>
      <c r="N35" s="135" t="str">
        <f>VLOOKUP(Tableau10[[#This Row],[Colonne1]],Tableau124[#All],13,FALSE)</f>
        <v>Consultations avancées en CHRS</v>
      </c>
    </row>
    <row r="36" spans="1:14" ht="86.5" customHeight="1"/>
    <row r="37" spans="1:14" ht="86.5" customHeight="1"/>
    <row r="38" spans="1:14" ht="86.5" customHeight="1"/>
    <row r="39" spans="1:14" ht="86.5" customHeight="1"/>
    <row r="40" spans="1:14" ht="86.5" customHeight="1"/>
    <row r="41" spans="1:14" ht="86.5" customHeight="1"/>
    <row r="42" spans="1:14" ht="86.5" customHeight="1"/>
    <row r="43" spans="1:14" ht="86.5" customHeight="1"/>
    <row r="44" spans="1:14" ht="86.5" customHeight="1"/>
  </sheetData>
  <mergeCells count="1">
    <mergeCell ref="C3:O3"/>
  </mergeCells>
  <phoneticPr fontId="8" type="noConversion"/>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5">
    <tabColor rgb="FFC39BE1"/>
  </sheetPr>
  <dimension ref="A1:P38"/>
  <sheetViews>
    <sheetView zoomScale="51" zoomScaleNormal="40" workbookViewId="0">
      <selection activeCell="E5" sqref="E5"/>
    </sheetView>
  </sheetViews>
  <sheetFormatPr baseColWidth="10" defaultColWidth="10.54296875" defaultRowHeight="14.5"/>
  <cols>
    <col min="1" max="1" width="16.54296875" style="48" customWidth="1"/>
    <col min="2" max="2" width="13.453125" style="1" customWidth="1"/>
    <col min="3" max="3" width="29.54296875" style="1" customWidth="1"/>
    <col min="4" max="4" width="48.81640625" style="1" customWidth="1"/>
    <col min="5" max="5" width="24.1796875" style="1" customWidth="1"/>
    <col min="6" max="6" width="21.453125" style="1" customWidth="1"/>
    <col min="7" max="7" width="29.453125" style="1" customWidth="1"/>
    <col min="8" max="8" width="25.453125" style="1" customWidth="1"/>
    <col min="9" max="9" width="33.1796875" style="1" customWidth="1"/>
    <col min="10" max="10" width="20.453125" style="1" customWidth="1"/>
    <col min="11" max="11" width="27.26953125" style="1" customWidth="1"/>
    <col min="12" max="12" width="23.453125" style="1" customWidth="1"/>
    <col min="13" max="13" width="22.81640625" style="1" customWidth="1"/>
    <col min="14" max="14" width="37.453125" style="1" customWidth="1"/>
    <col min="15" max="15" width="29.1796875" style="1" hidden="1" customWidth="1"/>
    <col min="16" max="16384" width="10.54296875" style="1"/>
  </cols>
  <sheetData>
    <row r="1" spans="1:15" ht="57.65" customHeight="1">
      <c r="B1" s="48"/>
      <c r="C1" s="48"/>
      <c r="D1" s="48"/>
      <c r="E1" s="48"/>
      <c r="F1" s="48"/>
      <c r="G1" s="48"/>
      <c r="H1" s="48"/>
      <c r="I1" s="48"/>
      <c r="J1" s="48"/>
      <c r="K1" s="48"/>
      <c r="L1" s="48"/>
      <c r="M1" s="48"/>
      <c r="N1" s="48"/>
    </row>
    <row r="3" spans="1:15" ht="18.5">
      <c r="C3" s="618" t="s">
        <v>1018</v>
      </c>
      <c r="D3" s="618"/>
      <c r="E3" s="618"/>
      <c r="F3" s="618"/>
      <c r="G3" s="618"/>
      <c r="H3" s="618"/>
      <c r="I3" s="618"/>
      <c r="J3" s="618"/>
      <c r="K3" s="618"/>
      <c r="L3" s="618"/>
      <c r="M3" s="618"/>
      <c r="N3" s="618"/>
      <c r="O3" s="618"/>
    </row>
    <row r="5" spans="1:15">
      <c r="A5" s="49"/>
      <c r="B5" s="1" t="s">
        <v>1013</v>
      </c>
      <c r="C5" s="60" t="s">
        <v>18</v>
      </c>
      <c r="D5" s="60" t="s">
        <v>19</v>
      </c>
      <c r="E5" s="60" t="s">
        <v>20</v>
      </c>
      <c r="F5" s="60" t="s">
        <v>21</v>
      </c>
      <c r="G5" s="60" t="s">
        <v>22</v>
      </c>
      <c r="H5" s="60" t="s">
        <v>23</v>
      </c>
      <c r="I5" s="60" t="s">
        <v>24</v>
      </c>
      <c r="J5" s="60" t="s">
        <v>25</v>
      </c>
      <c r="K5" s="60" t="s">
        <v>26</v>
      </c>
      <c r="L5" s="60" t="s">
        <v>27</v>
      </c>
      <c r="M5" s="60" t="s">
        <v>28</v>
      </c>
      <c r="N5" s="146" t="s">
        <v>29</v>
      </c>
    </row>
    <row r="6" spans="1:15" ht="86.5" customHeight="1">
      <c r="B6" s="139">
        <v>160</v>
      </c>
      <c r="C6" s="135" t="str">
        <f>VLOOKUP(Tableau15[[#This Row],[Colonne1]],Tableau124[#All],2,FALSE)</f>
        <v>Saône-et-Loire (71)</v>
      </c>
      <c r="D6" s="135" t="str">
        <f>VLOOKUP(Tableau15[[#This Row],[Colonne1]],Tableau124[#All],3,FALSE)</f>
        <v>Autun</v>
      </c>
      <c r="E6" s="135">
        <f>VLOOKUP(Tableau15[[#This Row],[Colonne1]],Tableau124[#All],4,FALSE)</f>
        <v>71400</v>
      </c>
      <c r="F6" s="135" t="str">
        <f>VLOOKUP(Tableau15[[#This Row],[Colonne1]],Tableau124[#All],5,FALSE)</f>
        <v>15 rue deguin</v>
      </c>
      <c r="G6" s="135" t="str">
        <f>VLOOKUP(Tableau15[[#This Row],[Colonne1]],Tableau124[#All],6,FALSE)</f>
        <v>Antenne CSAPA</v>
      </c>
      <c r="H6" s="135" t="str">
        <f>VLOOKUP(Tableau15[[#This Row],[Colonne1]],Tableau124[#All],7,FALSE)</f>
        <v>Addictions France 71</v>
      </c>
      <c r="I6" s="135" t="str">
        <f>VLOOKUP(Tableau15[[#This Row],[Colonne1]],Tableau124[#All],8,FALSE)</f>
        <v>Associatif</v>
      </c>
      <c r="J6" s="269" t="str">
        <f>VLOOKUP(Tableau15[[#This Row],[Colonne1]],Tableau124[#All],9,FALSE)</f>
        <v>csapa.autun@addictions-france.org</v>
      </c>
      <c r="K6" s="204" t="str">
        <f>VLOOKUP(Tableau15[[#This Row],[Colonne1]],Tableau124[#All],10,FALSE)</f>
        <v>0385521490</v>
      </c>
      <c r="L6" s="274"/>
      <c r="M6" s="135" t="str">
        <f>VLOOKUP(Tableau15[[#This Row],[Colonne1]],Tableau124[#All],12,FALSE)</f>
        <v>Mardi 9h30 à 12h30 13h à 18h
Vendredi 9h30 à 12h30 et 13h à 16h</v>
      </c>
      <c r="N6" s="342"/>
    </row>
    <row r="7" spans="1:15" ht="86.5" customHeight="1">
      <c r="B7" s="139">
        <v>162</v>
      </c>
      <c r="C7" s="119" t="str">
        <f>VLOOKUP(Tableau15[[#This Row],[Colonne1]],Tableau124[#All],2,FALSE)</f>
        <v>Saône-et-Loire (71)</v>
      </c>
      <c r="D7" s="119" t="str">
        <f>VLOOKUP(Tableau15[[#This Row],[Colonne1]],Tableau124[#All],3,FALSE)</f>
        <v>Autun</v>
      </c>
      <c r="E7" s="119" t="str">
        <f>VLOOKUP(Tableau15[[#This Row],[Colonne1]],Tableau124[#All],4,FALSE)</f>
        <v>71400</v>
      </c>
      <c r="F7" s="119" t="str">
        <f>VLOOKUP(Tableau15[[#This Row],[Colonne1]],Tableau124[#All],5,FALSE)</f>
        <v>CH Autun, 7 Bis rue Parpas, Dans plusieurs services</v>
      </c>
      <c r="G7" s="121" t="str">
        <f>VLOOKUP(Tableau15[[#This Row],[Colonne1]],Tableau124[#All],6,FALSE)</f>
        <v>ELSA</v>
      </c>
      <c r="H7" s="119" t="str">
        <f>VLOOKUP(Tableau15[[#This Row],[Colonne1]],Tableau124[#All],7,FALSE)</f>
        <v>CH Autun</v>
      </c>
      <c r="I7" s="119" t="str">
        <f>VLOOKUP(Tableau15[[#This Row],[Colonne1]],Tableau124[#All],8,FALSE)</f>
        <v>Public</v>
      </c>
      <c r="J7" s="276" t="str">
        <f>VLOOKUP(Tableau15[[#This Row],[Colonne1]],Tableau124[#All],9,FALSE)</f>
        <v>http://ch-autun.fr/contact/@ch-autun.fr</v>
      </c>
      <c r="K7" s="308" t="str">
        <f>VLOOKUP(Tableau15[[#This Row],[Colonne1]],Tableau124[#All],10,FALSE)</f>
        <v>03 85 86 84 84</v>
      </c>
      <c r="L7" s="274" t="str">
        <f>VLOOKUP(Tableau15[[#This Row],[Colonne1]],Tableau124[#All],11,FALSE)</f>
        <v xml:space="preserve"> </v>
      </c>
      <c r="M7" s="215" t="str">
        <f>VLOOKUP(Tableau15[[#This Row],[Colonne1]],Tableau124[#All],12,FALSE)</f>
        <v xml:space="preserve"> </v>
      </c>
      <c r="N7" s="336" t="str">
        <f>VLOOKUP(Tableau15[[#This Row],[Colonne1]],Tableau124[#All],13,FALSE)</f>
        <v>- intervention auprès de public majeur ; 
-interventions dans tous les services</v>
      </c>
    </row>
    <row r="8" spans="1:15" ht="86.5" customHeight="1">
      <c r="B8" s="139">
        <v>161</v>
      </c>
      <c r="C8" s="104" t="str">
        <f>VLOOKUP(Tableau15[[#This Row],[Colonne1]],Tableau124[#All],2,FALSE)</f>
        <v>Saône-et-Loire (71)</v>
      </c>
      <c r="D8" s="104" t="str">
        <f>VLOOKUP(Tableau15[[#This Row],[Colonne1]],Tableau124[#All],3,FALSE)</f>
        <v>Autun</v>
      </c>
      <c r="E8" s="104" t="str">
        <f>VLOOKUP(Tableau15[[#This Row],[Colonne1]],Tableau124[#All],4,FALSE)</f>
        <v>71400</v>
      </c>
      <c r="F8" s="104" t="str">
        <f>VLOOKUP(Tableau15[[#This Row],[Colonne1]],Tableau124[#All],5,FALSE)</f>
        <v xml:space="preserve">7bis rue de parpas </v>
      </c>
      <c r="G8" s="104" t="str">
        <f>VLOOKUP(Tableau15[[#This Row],[Colonne1]],Tableau124[#All],6,FALSE)</f>
        <v>Consultations Hospitalières externes d'addictologie</v>
      </c>
      <c r="H8" s="104" t="str">
        <f>VLOOKUP(Tableau15[[#This Row],[Colonne1]],Tableau124[#All],7,FALSE)</f>
        <v>CH Autun</v>
      </c>
      <c r="I8" s="104" t="str">
        <f>VLOOKUP(Tableau15[[#This Row],[Colonne1]],Tableau124[#All],8,FALSE)</f>
        <v>Public</v>
      </c>
      <c r="J8" s="265" t="str">
        <f>VLOOKUP(Tableau15[[#This Row],[Colonne1]],Tableau124[#All],9,FALSE)</f>
        <v>http://ch-autun.fr/contact/@ch-autun.fr</v>
      </c>
      <c r="K8" s="203" t="str">
        <f>VLOOKUP(Tableau15[[#This Row],[Colonne1]],Tableau124[#All],10,FALSE)</f>
        <v>03 85 86 84 84</v>
      </c>
      <c r="L8" s="274" t="str">
        <f>VLOOKUP(Tableau15[[#This Row],[Colonne1]],Tableau124[#All],11,FALSE)</f>
        <v xml:space="preserve"> </v>
      </c>
      <c r="M8" s="206" t="str">
        <f>VLOOKUP(Tableau15[[#This Row],[Colonne1]],Tableau124[#All],12,FALSE)</f>
        <v>lundi matin, mercredi matin un jeudi sur deux</v>
      </c>
      <c r="N8" s="340" t="str">
        <f>VLOOKUP(Tableau15[[#This Row],[Colonne1]],Tableau124[#All],13,FALSE)</f>
        <v>Intervention auprès de public majeurs et mineurs</v>
      </c>
    </row>
    <row r="9" spans="1:15" ht="86.5" customHeight="1">
      <c r="B9" s="139">
        <v>163</v>
      </c>
      <c r="C9" s="93" t="str">
        <f>VLOOKUP(Tableau15[[#This Row],[Colonne1]],Tableau124[#All],2,FALSE)</f>
        <v>Saône-et-Loire (71)</v>
      </c>
      <c r="D9" s="93" t="str">
        <f>VLOOKUP(Tableau15[[#This Row],[Colonne1]],Tableau124[#All],3,FALSE)</f>
        <v>Autun</v>
      </c>
      <c r="E9" s="93" t="str">
        <f>VLOOKUP(Tableau15[[#This Row],[Colonne1]],Tableau124[#All],4,FALSE)</f>
        <v>71400</v>
      </c>
      <c r="F9" s="93" t="str">
        <f>VLOOKUP(Tableau15[[#This Row],[Colonne1]],Tableau124[#All],5,FALSE)</f>
        <v>7bis rue de parpas 
Hôpital les Chanaux, Bd L Escandes</v>
      </c>
      <c r="G9" s="93" t="str">
        <f>VLOOKUP(Tableau15[[#This Row],[Colonne1]],Tableau124[#All],6,FALSE)</f>
        <v>Sevrage simple</v>
      </c>
      <c r="H9" s="93" t="str">
        <f>VLOOKUP(Tableau15[[#This Row],[Colonne1]],Tableau124[#All],7,FALSE)</f>
        <v>CH Autun
Hôpital les Chanaux, Bd L Escandes (Macon)</v>
      </c>
      <c r="I9" s="93" t="str">
        <f>VLOOKUP(Tableau15[[#This Row],[Colonne1]],Tableau124[#All],8,FALSE)</f>
        <v>Public</v>
      </c>
      <c r="J9" s="280" t="str">
        <f>VLOOKUP(Tableau15[[#This Row],[Colonne1]],Tableau124[#All],9,FALSE)</f>
        <v>http://ch-autun.fr/contact/
Macon : pamenecier@ch-macon.fr</v>
      </c>
      <c r="K9" s="332" t="str">
        <f>VLOOKUP(Tableau15[[#This Row],[Colonne1]],Tableau124[#All],10,FALSE)</f>
        <v>03 85 86 84 84
Macon : 03 85 27 53 69</v>
      </c>
      <c r="L9" s="274" t="str">
        <f>VLOOKUP(Tableau15[[#This Row],[Colonne1]],Tableau124[#All],11,FALSE)</f>
        <v>https://www.ch-macon.fr/patients-usagers/services/addictologie/</v>
      </c>
      <c r="M9" s="215" t="str">
        <f>VLOOKUP(Tableau15[[#This Row],[Colonne1]],Tableau124[#All],12,FALSE)</f>
        <v xml:space="preserve"> </v>
      </c>
      <c r="N9" s="323" t="str">
        <f>VLOOKUP(Tableau15[[#This Row],[Colonne1]],Tableau124[#All],13,FALSE)</f>
        <v xml:space="preserve">- interventions auprès d'un public majeur ; 
- lits installés au sein d'une même unité ; 
- unité de médecine 2
Macon : 
'- interventions auprès d'un public majeur ; 
- lits installés au sein d'une même unité ; 
- une unité de médecine polyvalente.
</v>
      </c>
    </row>
    <row r="10" spans="1:15" ht="86.5" customHeight="1">
      <c r="B10" s="139">
        <v>164</v>
      </c>
      <c r="C10" s="186" t="str">
        <f>VLOOKUP(Tableau15[[#This Row],[Colonne1]],Tableau124[#All],2,FALSE)</f>
        <v>Saône-et-Loire (71)</v>
      </c>
      <c r="D10" s="135" t="str">
        <f>VLOOKUP(Tableau15[[#This Row],[Colonne1]],Tableau124[#All],3,FALSE)</f>
        <v>Chagny</v>
      </c>
      <c r="E10" s="135">
        <f>VLOOKUP(Tableau15[[#This Row],[Colonne1]],Tableau124[#All],4,FALSE)</f>
        <v>71150</v>
      </c>
      <c r="F10" s="135" t="str">
        <f>VLOOKUP(Tableau15[[#This Row],[Colonne1]],Tableau124[#All],5,FALSE)</f>
        <v>CCAS de Chagny, 4 rue de Beaune</v>
      </c>
      <c r="G10" s="135" t="str">
        <f>VLOOKUP(Tableau15[[#This Row],[Colonne1]],Tableau124[#All],6,FALSE)</f>
        <v>CSAPA (consultations avancées)</v>
      </c>
      <c r="H10" s="135" t="str">
        <f>VLOOKUP(Tableau15[[#This Row],[Colonne1]],Tableau124[#All],7,FALSE)</f>
        <v>CSAPA KAIRN71 - SAUVEGARDE71 - consultations avancées</v>
      </c>
      <c r="I10" s="135" t="str">
        <f>VLOOKUP(Tableau15[[#This Row],[Colonne1]],Tableau124[#All],8,FALSE)</f>
        <v>Associatif</v>
      </c>
      <c r="J10" s="268" t="str">
        <f>VLOOKUP(Tableau15[[#This Row],[Colonne1]],Tableau124[#All],9,FALSE)</f>
        <v>kairn71@sauvegarde71.fr</v>
      </c>
      <c r="K10" s="205" t="str">
        <f>VLOOKUP(Tableau15[[#This Row],[Colonne1]],Tableau124[#All],10,FALSE)</f>
        <v>0385909061</v>
      </c>
      <c r="L10" s="268" t="str">
        <f>VLOOKUP(Tableau15[[#This Row],[Colonne1]],Tableau124[#All],11,FALSE)</f>
        <v>www.sauvegarde71.fr</v>
      </c>
      <c r="M10" s="100" t="str">
        <f>VLOOKUP(Tableau15[[#This Row],[Colonne1]],Tableau124[#All],12,FALSE)</f>
        <v>jeudi de 14h-16h30</v>
      </c>
      <c r="N10" s="248" t="str">
        <f>VLOOKUP(Tableau15[[#This Row],[Colonne1]],Tableau124[#All],13,FALSE)</f>
        <v>Réalisation de consultations avancées</v>
      </c>
    </row>
    <row r="11" spans="1:15" ht="86.5" customHeight="1">
      <c r="B11" s="139">
        <v>169</v>
      </c>
      <c r="C11" s="119" t="str">
        <f>VLOOKUP(Tableau15[[#This Row],[Colonne1]],Tableau124[#All],2,FALSE)</f>
        <v>Saône-et-Loire (71)</v>
      </c>
      <c r="D11" s="119" t="str">
        <f>VLOOKUP(Tableau15[[#This Row],[Colonne1]],Tableau124[#All],3,FALSE)</f>
        <v>Châlon-sur-Saône</v>
      </c>
      <c r="E11" s="119" t="str">
        <f>VLOOKUP(Tableau15[[#This Row],[Colonne1]],Tableau124[#All],4,FALSE)</f>
        <v>71100</v>
      </c>
      <c r="F11" s="121" t="str">
        <f>VLOOKUP(Tableau15[[#This Row],[Colonne1]],Tableau124[#All],5,FALSE)</f>
        <v>Centre Hospitalier Chalon sur Saône William Morey 
4, rue Capitaine Drillien, Dans un seul service</v>
      </c>
      <c r="G11" s="121" t="str">
        <f>VLOOKUP(Tableau15[[#This Row],[Colonne1]],Tableau124[#All],6,FALSE)</f>
        <v>ELSA</v>
      </c>
      <c r="H11" s="119" t="str">
        <f>VLOOKUP(Tableau15[[#This Row],[Colonne1]],Tableau124[#All],7,FALSE)</f>
        <v>Centre Hospitalier Chalon-sur-Saône</v>
      </c>
      <c r="I11" s="119" t="str">
        <f>VLOOKUP(Tableau15[[#This Row],[Colonne1]],Tableau124[#All],8,FALSE)</f>
        <v>Public</v>
      </c>
      <c r="J11" s="276" t="str">
        <f>VLOOKUP(Tableau15[[#This Row],[Colonne1]],Tableau124[#All],9,FALSE)</f>
        <v>Secretariat.urgences@ch-chalon71.fr</v>
      </c>
      <c r="K11" s="308" t="str">
        <f>VLOOKUP(Tableau15[[#This Row],[Colonne1]],Tableau124[#All],10,FALSE)</f>
        <v>Tél. 03.85.91.00.85</v>
      </c>
      <c r="L11" s="273" t="str">
        <f>VLOOKUP(Tableau15[[#This Row],[Colonne1]],Tableau124[#All],11,FALSE)</f>
        <v xml:space="preserve"> </v>
      </c>
      <c r="M11" s="215" t="str">
        <f>VLOOKUP(Tableau15[[#This Row],[Colonne1]],Tableau124[#All],12,FALSE)</f>
        <v xml:space="preserve"> </v>
      </c>
      <c r="N11" s="322" t="str">
        <f>VLOOKUP(Tableau15[[#This Row],[Colonne1]],Tableau124[#All],13,FALSE)</f>
        <v>- intervention auprès de public majeur ; 
- intervention auprès des SAU et UHCD</v>
      </c>
    </row>
    <row r="12" spans="1:15" ht="86.5" customHeight="1">
      <c r="B12" s="139">
        <v>167</v>
      </c>
      <c r="C12" s="181" t="str">
        <f>VLOOKUP(Tableau15[[#This Row],[Colonne1]],Tableau124[#All],2,FALSE)</f>
        <v>Saône-et-Loire (71)</v>
      </c>
      <c r="D12" s="104" t="str">
        <f>VLOOKUP(Tableau15[[#This Row],[Colonne1]],Tableau124[#All],3,FALSE)</f>
        <v>Châlon-sur-Saône</v>
      </c>
      <c r="E12" s="104" t="str">
        <f>VLOOKUP(Tableau15[[#This Row],[Colonne1]],Tableau124[#All],4,FALSE)</f>
        <v>71100</v>
      </c>
      <c r="F12" s="104" t="str">
        <f>VLOOKUP(Tableau15[[#This Row],[Colonne1]],Tableau124[#All],5,FALSE)</f>
        <v>ADDICTOLOGIE
Centre Hospitalier Chalon sur Saône William Morey 
4, rue Capitaine Drillien - CS80120</v>
      </c>
      <c r="G12" s="104" t="str">
        <f>VLOOKUP(Tableau15[[#This Row],[Colonne1]],Tableau124[#All],6,FALSE)</f>
        <v>Consultations Hospitalières externes d'addictologie</v>
      </c>
      <c r="H12" s="181" t="str">
        <f>VLOOKUP(Tableau15[[#This Row],[Colonne1]],Tableau124[#All],7,FALSE)</f>
        <v>Centre Hospitalier Chalon-sur-Saône</v>
      </c>
      <c r="I12" s="181" t="str">
        <f>VLOOKUP(Tableau15[[#This Row],[Colonne1]],Tableau124[#All],8,FALSE)</f>
        <v>Public</v>
      </c>
      <c r="J12" s="265" t="str">
        <f>VLOOKUP(Tableau15[[#This Row],[Colonne1]],Tableau124[#All],9,FALSE)</f>
        <v>Secretariat.urgences@ch-chalon71.fr</v>
      </c>
      <c r="K12" s="203" t="str">
        <f>VLOOKUP(Tableau15[[#This Row],[Colonne1]],Tableau124[#All],10,FALSE)</f>
        <v>03.85.91.00.85</v>
      </c>
      <c r="L12" s="273" t="str">
        <f>VLOOKUP(Tableau15[[#This Row],[Colonne1]],Tableau124[#All],11,FALSE)</f>
        <v xml:space="preserve"> </v>
      </c>
      <c r="M12" s="206" t="str">
        <f>VLOOKUP(Tableau15[[#This Row],[Colonne1]],Tableau124[#All],12,FALSE)</f>
        <v>9 h -12h et 14h 17h
Du lundi au vendredi</v>
      </c>
      <c r="N12" s="321" t="str">
        <f>VLOOKUP(Tableau15[[#This Row],[Colonne1]],Tableau124[#All],13,FALSE)</f>
        <v>Intervention auprès de public majeurs et mineurs</v>
      </c>
    </row>
    <row r="13" spans="1:15" ht="86.5" customHeight="1">
      <c r="B13" s="139">
        <v>168</v>
      </c>
      <c r="C13" s="186" t="str">
        <f>VLOOKUP(Tableau15[[#This Row],[Colonne1]],Tableau124[#All],2,FALSE)</f>
        <v>Saône-et-Loire (71)</v>
      </c>
      <c r="D13" s="186" t="str">
        <f>VLOOKUP(Tableau15[[#This Row],[Colonne1]],Tableau124[#All],3,FALSE)</f>
        <v>Châlon-sur-Saône</v>
      </c>
      <c r="E13" s="186" t="str">
        <f>VLOOKUP(Tableau15[[#This Row],[Colonne1]],Tableau124[#All],4,FALSE)</f>
        <v>71100</v>
      </c>
      <c r="F13" s="186" t="str">
        <f>VLOOKUP(Tableau15[[#This Row],[Colonne1]],Tableau124[#All],5,FALSE)</f>
        <v>1 Av. Georges Pompidou</v>
      </c>
      <c r="G13" s="186" t="str">
        <f>VLOOKUP(Tableau15[[#This Row],[Colonne1]],Tableau124[#All],6,FALSE)</f>
        <v>CSAPA</v>
      </c>
      <c r="H13" s="186" t="str">
        <f>VLOOKUP(Tableau15[[#This Row],[Colonne1]],Tableau124[#All],7,FALSE)</f>
        <v>CSAPA KAIRN71 - SAUVEGARDE71</v>
      </c>
      <c r="I13" s="186" t="str">
        <f>VLOOKUP(Tableau15[[#This Row],[Colonne1]],Tableau124[#All],8,FALSE)</f>
        <v>Associatif</v>
      </c>
      <c r="J13" s="268" t="str">
        <f>VLOOKUP(Tableau15[[#This Row],[Colonne1]],Tableau124[#All],9,FALSE)</f>
        <v>kairn71@sauvegarde71.fr</v>
      </c>
      <c r="K13" s="205" t="str">
        <f>VLOOKUP(Tableau15[[#This Row],[Colonne1]],Tableau124[#All],10,FALSE)</f>
        <v>0385909060</v>
      </c>
      <c r="L13" s="269" t="str">
        <f>VLOOKUP(Tableau15[[#This Row],[Colonne1]],Tableau124[#All],11,FALSE)</f>
        <v>www.sauvegarde71.fr</v>
      </c>
      <c r="M13" s="100" t="str">
        <f>VLOOKUP(Tableau15[[#This Row],[Colonne1]],Tableau124[#All],12,FALSE)</f>
        <v>lundi = 9h-12h30 / 14h-18h
mardi = 11h-12h30 / 15h30-18h
mercredi = 9h-12h / 14h-18h
jeudi = 9h-12h30 / 14h-18h
vendredi = 9h-12h30 / 14h-17h</v>
      </c>
      <c r="N13" s="326" t="str">
        <f>VLOOKUP(Tableau15[[#This Row],[Colonne1]],Tableau124[#All],13,FALSE)</f>
        <v>- Réalisation de consultations avancées sur Chagny, Chalon-sur-Saône, Louhans;
- dispositifs de soins résidentiels sous forme d'appartement thérapeutiques sur Chalon-sur-Saône (15 rue Philibert GUIDE 71100 Chalon-sur-Saône) ;
- intervention en milieu festif ;
- intervention en milieu pénitentiaire au Centre pénitentiaire de Varennes le Grand ;
- mise à disposition de matériel de consommation à moindre risque ;
- proposition de test rapide d'orientation diagnostic (TROD) ; 
- dispositifs anti-overdose à disposition ; 
- présence d'une CJC.</v>
      </c>
    </row>
    <row r="14" spans="1:15" ht="86.5" customHeight="1">
      <c r="B14" s="139">
        <v>166</v>
      </c>
      <c r="C14" s="195" t="str">
        <f>VLOOKUP(Tableau15[[#This Row],[Colonne1]],Tableau124[#All],2,FALSE)</f>
        <v>Saône-et-Loire (71)</v>
      </c>
      <c r="D14" s="180" t="str">
        <f>VLOOKUP(Tableau15[[#This Row],[Colonne1]],Tableau124[#All],3,FALSE)</f>
        <v>Châlon-sur-Saône</v>
      </c>
      <c r="E14" s="180" t="str">
        <f>VLOOKUP(Tableau15[[#This Row],[Colonne1]],Tableau124[#All],4,FALSE)</f>
        <v>71100</v>
      </c>
      <c r="F14" s="180" t="str">
        <f>VLOOKUP(Tableau15[[#This Row],[Colonne1]],Tableau124[#All],5,FALSE)</f>
        <v>1 Av. Georges Pompidou</v>
      </c>
      <c r="G14" s="180" t="str">
        <f>VLOOKUP(Tableau15[[#This Row],[Colonne1]],Tableau124[#All],6,FALSE)</f>
        <v>CJC</v>
      </c>
      <c r="H14" s="195" t="str">
        <f>VLOOKUP(Tableau15[[#This Row],[Colonne1]],Tableau124[#All],7,FALSE)</f>
        <v>CSAPA KAIRN71 - SAUVEGARDE71</v>
      </c>
      <c r="I14" s="195" t="str">
        <f>VLOOKUP(Tableau15[[#This Row],[Colonne1]],Tableau124[#All],8,FALSE)</f>
        <v>Associatif</v>
      </c>
      <c r="J14" s="306" t="str">
        <f>VLOOKUP(Tableau15[[#This Row],[Colonne1]],Tableau124[#All],9,FALSE)</f>
        <v>kairn71@sauvegarde71.fr</v>
      </c>
      <c r="K14" s="207" t="str">
        <f>VLOOKUP(Tableau15[[#This Row],[Colonne1]],Tableau124[#All],10,FALSE)</f>
        <v>0385909060</v>
      </c>
      <c r="L14" s="306" t="str">
        <f>VLOOKUP(Tableau15[[#This Row],[Colonne1]],Tableau124[#All],11,FALSE)</f>
        <v>www.sauvegarde71.fr</v>
      </c>
      <c r="M14" s="222" t="str">
        <f>VLOOKUP(Tableau15[[#This Row],[Colonne1]],Tableau124[#All],12,FALSE)</f>
        <v>Mercredi de 14h à 19h</v>
      </c>
      <c r="N14" s="559" t="str">
        <f>VLOOKUP(Tableau15[[#This Row],[Colonne1]],Tableau124[#All],13,FALSE)</f>
        <v xml:space="preserve">- Accueil des familles ; 
- Orientation sur rendez-vous ;
- CJC accessible à la famille et l'entourage ; 
- locaux identiques à ceux du CSAPA. </v>
      </c>
    </row>
    <row r="15" spans="1:15" ht="86.5" customHeight="1">
      <c r="B15" s="139">
        <v>165</v>
      </c>
      <c r="C15" s="171" t="str">
        <f>VLOOKUP(Tableau15[[#This Row],[Colonne1]],Tableau124[#All],2,FALSE)</f>
        <v>Saône-et-Loire (71)</v>
      </c>
      <c r="D15" s="171" t="str">
        <f>VLOOKUP(Tableau15[[#This Row],[Colonne1]],Tableau124[#All],3,FALSE)</f>
        <v>Châlon-sur-Saône</v>
      </c>
      <c r="E15" s="171" t="str">
        <f>VLOOKUP(Tableau15[[#This Row],[Colonne1]],Tableau124[#All],4,FALSE)</f>
        <v>71100</v>
      </c>
      <c r="F15" s="171" t="str">
        <f>VLOOKUP(Tableau15[[#This Row],[Colonne1]],Tableau124[#All],5,FALSE)</f>
        <v>41 Av. Boucicaut</v>
      </c>
      <c r="G15" s="171" t="str">
        <f>VLOOKUP(Tableau15[[#This Row],[Colonne1]],Tableau124[#All],6,FALSE)</f>
        <v>CAARUD</v>
      </c>
      <c r="H15" s="171" t="str">
        <f>VLOOKUP(Tableau15[[#This Row],[Colonne1]],Tableau124[#All],7,FALSE)</f>
        <v>CAARUD 16 Kay - Sauvegarde 71</v>
      </c>
      <c r="I15" s="171" t="str">
        <f>VLOOKUP(Tableau15[[#This Row],[Colonne1]],Tableau124[#All],8,FALSE)</f>
        <v>Associatif</v>
      </c>
      <c r="J15" s="298" t="str">
        <f>VLOOKUP(Tableau15[[#This Row],[Colonne1]],Tableau124[#All],9,FALSE)</f>
        <v>caarud16kay@sauvegarde71.fr</v>
      </c>
      <c r="K15" s="210" t="str">
        <f>VLOOKUP(Tableau15[[#This Row],[Colonne1]],Tableau124[#All],10,FALSE)</f>
        <v>0954654665</v>
      </c>
      <c r="L15" s="298" t="str">
        <f>VLOOKUP(Tableau15[[#This Row],[Colonne1]],Tableau124[#All],11,FALSE)</f>
        <v>www.sauvegarde71.fr</v>
      </c>
      <c r="M15" s="221" t="str">
        <f>VLOOKUP(Tableau15[[#This Row],[Colonne1]],Tableau124[#All],12,FALSE)</f>
        <v>lundi = 13h30-17h30
jeudi = 14h-19h
vendredi 11h-15h30</v>
      </c>
      <c r="N15" s="421" t="str">
        <f>VLOOKUP(Tableau15[[#This Row],[Colonne1]],Tableau124[#All],13,FALSE)</f>
        <v xml:space="preserve">- unité mobile pouvant servir de lieu d'accueil (déplacement sur tout le département de Saône et Loire) ; 
- programme d'échange de seringues ;
- intervention en maraude ; 
- intervention en milieu festif. </v>
      </c>
    </row>
    <row r="16" spans="1:15" ht="86.5" customHeight="1">
      <c r="B16" s="139">
        <v>170</v>
      </c>
      <c r="C16" s="135" t="str">
        <f>VLOOKUP(Tableau15[[#This Row],[Colonne1]],Tableau124[#All],2,FALSE)</f>
        <v>Saône-et-Loire (71)</v>
      </c>
      <c r="D16" s="135" t="str">
        <f>VLOOKUP(Tableau15[[#This Row],[Colonne1]],Tableau124[#All],3,FALSE)</f>
        <v>Le Creusot</v>
      </c>
      <c r="E16" s="135">
        <f>VLOOKUP(Tableau15[[#This Row],[Colonne1]],Tableau124[#All],4,FALSE)</f>
        <v>71200</v>
      </c>
      <c r="F16" s="135" t="str">
        <f>VLOOKUP(Tableau15[[#This Row],[Colonne1]],Tableau124[#All],5,FALSE)</f>
        <v>12 rue Pierre et Marie Curie</v>
      </c>
      <c r="G16" s="135" t="str">
        <f>VLOOKUP(Tableau15[[#This Row],[Colonne1]],Tableau124[#All],6,FALSE)</f>
        <v>Antenne CSAPA</v>
      </c>
      <c r="H16" s="135" t="str">
        <f>VLOOKUP(Tableau15[[#This Row],[Colonne1]],Tableau124[#All],7,FALSE)</f>
        <v>Addictions France 71</v>
      </c>
      <c r="I16" s="135" t="str">
        <f>VLOOKUP(Tableau15[[#This Row],[Colonne1]],Tableau124[#All],8,FALSE)</f>
        <v>Associatif</v>
      </c>
      <c r="J16" s="268" t="str">
        <f>VLOOKUP(Tableau15[[#This Row],[Colonne1]],Tableau124[#All],9,FALSE)</f>
        <v>csapa.lecreusot@addictions-france.org</v>
      </c>
      <c r="K16" s="205" t="str">
        <f>VLOOKUP(Tableau15[[#This Row],[Colonne1]],Tableau124[#All],10,FALSE)</f>
        <v>0385551121</v>
      </c>
      <c r="L16" s="273" t="str">
        <f>VLOOKUP(Tableau15[[#This Row],[Colonne1]],Tableau124[#All],11,FALSE)</f>
        <v xml:space="preserve"> </v>
      </c>
      <c r="M16" s="100" t="str">
        <f>VLOOKUP(Tableau15[[#This Row],[Colonne1]],Tableau124[#All],12,FALSE)</f>
        <v>Le lundi et le jeudi de 8h30h à 12h30 et de 13h à 17h30 sur rendez-vous</v>
      </c>
      <c r="N16" s="328" t="str">
        <f>VLOOKUP(Tableau15[[#This Row],[Colonne1]],Tableau124[#All],13,FALSE)</f>
        <v xml:space="preserve">  mise à disposition de matériel de consommation à moindre risque ; présence d'une CJC</v>
      </c>
    </row>
    <row r="17" spans="1:14" ht="86.5" customHeight="1">
      <c r="B17" s="139">
        <v>172</v>
      </c>
      <c r="C17" s="119" t="str">
        <f>VLOOKUP(Tableau15[[#This Row],[Colonne1]],Tableau124[#All],2,FALSE)</f>
        <v>Saône-et-Loire (71)</v>
      </c>
      <c r="D17" s="119" t="str">
        <f>VLOOKUP(Tableau15[[#This Row],[Colonne1]],Tableau124[#All],3,FALSE)</f>
        <v>Le Creusot</v>
      </c>
      <c r="E17" s="119" t="str">
        <f>VLOOKUP(Tableau15[[#This Row],[Colonne1]],Tableau124[#All],4,FALSE)</f>
        <v>71200</v>
      </c>
      <c r="F17" s="121" t="str">
        <f>VLOOKUP(Tableau15[[#This Row],[Colonne1]],Tableau124[#All],5,FALSE)</f>
        <v xml:space="preserve">Groupe SOS Santé. Hôpital Le Creusot 175 avenue maréchal FOCH </v>
      </c>
      <c r="G17" s="121" t="str">
        <f>VLOOKUP(Tableau15[[#This Row],[Colonne1]],Tableau124[#All],6,FALSE)</f>
        <v>ELSA</v>
      </c>
      <c r="H17" s="119" t="str">
        <f>VLOOKUP(Tableau15[[#This Row],[Colonne1]],Tableau124[#All],7,FALSE)</f>
        <v>Groupe SOS Santé Hôpital Le Creusot</v>
      </c>
      <c r="I17" s="119" t="str">
        <f>VLOOKUP(Tableau15[[#This Row],[Colonne1]],Tableau124[#All],8,FALSE)</f>
        <v>Associatif</v>
      </c>
      <c r="J17" s="276" t="str">
        <f>VLOOKUP(Tableau15[[#This Row],[Colonne1]],Tableau124[#All],9,FALSE)</f>
        <v>ghforest@hoteldieu-creusot.fr</v>
      </c>
      <c r="K17" s="308" t="str">
        <f>VLOOKUP(Tableau15[[#This Row],[Colonne1]],Tableau124[#All],10,FALSE)</f>
        <v>03.85.77.47.85 et 06.25.75.35.38</v>
      </c>
      <c r="L17" s="276" t="str">
        <f>VLOOKUP(Tableau15[[#This Row],[Colonne1]],Tableau124[#All],11,FALSE)</f>
        <v>www.hopital-lecreusot.com</v>
      </c>
      <c r="M17" s="194" t="str">
        <f>VLOOKUP(Tableau15[[#This Row],[Colonne1]],Tableau124[#All],12,FALSE)</f>
        <v>lundi de 9h à 12h, du mardi au jeudi de 9h à 17h</v>
      </c>
      <c r="N17" s="322" t="str">
        <f>VLOOKUP(Tableau15[[#This Row],[Colonne1]],Tableau124[#All],13,FALSE)</f>
        <v>- intervention auprès de public majeur ; 
- interventions dans toutes les unités de soins du site de rattachement et dans les structures avec lesquelles il existe un partenariat</v>
      </c>
    </row>
    <row r="18" spans="1:14" ht="86.5" customHeight="1">
      <c r="B18" s="139">
        <v>171</v>
      </c>
      <c r="C18" s="181" t="str">
        <f>VLOOKUP(Tableau15[[#This Row],[Colonne1]],Tableau124[#All],2,FALSE)</f>
        <v>Saône-et-Loire (71)</v>
      </c>
      <c r="D18" s="181" t="str">
        <f>VLOOKUP(Tableau15[[#This Row],[Colonne1]],Tableau124[#All],3,FALSE)</f>
        <v>Le Creusot</v>
      </c>
      <c r="E18" s="181" t="str">
        <f>VLOOKUP(Tableau15[[#This Row],[Colonne1]],Tableau124[#All],4,FALSE)</f>
        <v>71200</v>
      </c>
      <c r="F18" s="181" t="str">
        <f>VLOOKUP(Tableau15[[#This Row],[Colonne1]],Tableau124[#All],5,FALSE)</f>
        <v xml:space="preserve">Groupe SOS Santé. Hôpital Le Creusot 175 avenue maréchal FOCH </v>
      </c>
      <c r="G18" s="181" t="str">
        <f>VLOOKUP(Tableau15[[#This Row],[Colonne1]],Tableau124[#All],6,FALSE)</f>
        <v>Consultations Hospitalières externes d'addictologie</v>
      </c>
      <c r="H18" s="181" t="str">
        <f>VLOOKUP(Tableau15[[#This Row],[Colonne1]],Tableau124[#All],7,FALSE)</f>
        <v>Groupe SOS Santé Hôpital Le Creusot</v>
      </c>
      <c r="I18" s="181" t="str">
        <f>VLOOKUP(Tableau15[[#This Row],[Colonne1]],Tableau124[#All],8,FALSE)</f>
        <v>Associatif</v>
      </c>
      <c r="J18" s="265" t="str">
        <f>VLOOKUP(Tableau15[[#This Row],[Colonne1]],Tableau124[#All],9,FALSE)</f>
        <v>ghforest@hoteldieu-creusot.fr</v>
      </c>
      <c r="K18" s="203" t="str">
        <f>VLOOKUP(Tableau15[[#This Row],[Colonne1]],Tableau124[#All],10,FALSE)</f>
        <v>03.85.77.74.85</v>
      </c>
      <c r="L18" s="265" t="str">
        <f>VLOOKUP(Tableau15[[#This Row],[Colonne1]],Tableau124[#All],11,FALSE)</f>
        <v>www.hopital-lecreusot.com</v>
      </c>
      <c r="M18" s="206" t="str">
        <f>VLOOKUP(Tableau15[[#This Row],[Colonne1]],Tableau124[#All],12,FALSE)</f>
        <v>lundi au vendredi (à voir avec l'équipe ELSA)</v>
      </c>
      <c r="N18" s="321" t="str">
        <f>VLOOKUP(Tableau15[[#This Row],[Colonne1]],Tableau124[#All],13,FALSE)</f>
        <v>Intervention auprès de public majeurs et mineurs</v>
      </c>
    </row>
    <row r="19" spans="1:14" ht="86.5" customHeight="1">
      <c r="B19" s="139">
        <v>174</v>
      </c>
      <c r="C19" s="135" t="str">
        <f>VLOOKUP(Tableau15[[#This Row],[Colonne1]],Tableau124[#All],2,FALSE)</f>
        <v>Saône-et-Loire (71)</v>
      </c>
      <c r="D19" s="135" t="str">
        <f>VLOOKUP(Tableau15[[#This Row],[Colonne1]],Tableau124[#All],3,FALSE)</f>
        <v>Louhans</v>
      </c>
      <c r="E19" s="135" t="str">
        <f>VLOOKUP(Tableau15[[#This Row],[Colonne1]],Tableau124[#All],4,FALSE)</f>
        <v>71100</v>
      </c>
      <c r="F19" s="135" t="str">
        <f>VLOOKUP(Tableau15[[#This Row],[Colonne1]],Tableau124[#All],5,FALSE)</f>
        <v>1 rue du Gruay</v>
      </c>
      <c r="G19" s="135" t="str">
        <f>VLOOKUP(Tableau15[[#This Row],[Colonne1]],Tableau124[#All],6,FALSE)</f>
        <v>Antenne CSAPA</v>
      </c>
      <c r="H19" s="135" t="str">
        <f>VLOOKUP(Tableau15[[#This Row],[Colonne1]],Tableau124[#All],7,FALSE)</f>
        <v>CSAPA KAIRN71 - SAUVEGARDE71</v>
      </c>
      <c r="I19" s="135" t="str">
        <f>VLOOKUP(Tableau15[[#This Row],[Colonne1]],Tableau124[#All],8,FALSE)</f>
        <v>Associatif</v>
      </c>
      <c r="J19" s="268" t="str">
        <f>VLOOKUP(Tableau15[[#This Row],[Colonne1]],Tableau124[#All],9,FALSE)</f>
        <v>kairn71@sauvegarde71.fr</v>
      </c>
      <c r="K19" s="205" t="str">
        <f>VLOOKUP(Tableau15[[#This Row],[Colonne1]],Tableau124[#All],10,FALSE)</f>
        <v>0385909060</v>
      </c>
      <c r="L19" s="274" t="str">
        <f>VLOOKUP(Tableau15[[#This Row],[Colonne1]],Tableau124[#All],11,FALSE)</f>
        <v xml:space="preserve">  </v>
      </c>
      <c r="M19" s="100" t="str">
        <f>VLOOKUP(Tableau15[[#This Row],[Colonne1]],Tableau124[#All],12,FALSE)</f>
        <v>lundi = 10h-13h / mardi = 10h-13h 13h30-17h / mercredi = 10h-13h 13h30-17h / jeudi = 10h-12h30 13h30-18h / vendredi = 10h-12h</v>
      </c>
      <c r="N19" s="328" t="str">
        <f>VLOOKUP(Tableau15[[#This Row],[Colonne1]],Tableau124[#All],13,FALSE)</f>
        <v xml:space="preserve">  </v>
      </c>
    </row>
    <row r="20" spans="1:14" ht="86.5" customHeight="1">
      <c r="B20" s="139">
        <v>177</v>
      </c>
      <c r="C20" s="135" t="str">
        <f>VLOOKUP(Tableau15[[#This Row],[Colonne1]],Tableau124[#All],2,FALSE)</f>
        <v>Saône-et-Loire (71)</v>
      </c>
      <c r="D20" s="135" t="str">
        <f>VLOOKUP(Tableau15[[#This Row],[Colonne1]],Tableau124[#All],3,FALSE)</f>
        <v>Mâcon</v>
      </c>
      <c r="E20" s="135" t="str">
        <f>VLOOKUP(Tableau15[[#This Row],[Colonne1]],Tableau124[#All],4,FALSE)</f>
        <v>71000</v>
      </c>
      <c r="F20" s="135" t="str">
        <f>VLOOKUP(Tableau15[[#This Row],[Colonne1]],Tableau124[#All],5,FALSE)</f>
        <v>71 rue Jean Macé</v>
      </c>
      <c r="G20" s="135" t="str">
        <f>VLOOKUP(Tableau15[[#This Row],[Colonne1]],Tableau124[#All],6,FALSE)</f>
        <v>CSAPA</v>
      </c>
      <c r="H20" s="135" t="str">
        <f>VLOOKUP(Tableau15[[#This Row],[Colonne1]],Tableau124[#All],7,FALSE)</f>
        <v>Addictions France 71</v>
      </c>
      <c r="I20" s="135" t="str">
        <f>VLOOKUP(Tableau15[[#This Row],[Colonne1]],Tableau124[#All],8,FALSE)</f>
        <v>Associatif</v>
      </c>
      <c r="J20" s="268" t="str">
        <f>VLOOKUP(Tableau15[[#This Row],[Colonne1]],Tableau124[#All],9,FALSE)</f>
        <v>csapa.macon@addictions-France.org</v>
      </c>
      <c r="K20" s="205" t="str">
        <f>VLOOKUP(Tableau15[[#This Row],[Colonne1]],Tableau124[#All],10,FALSE)</f>
        <v>03.85.39.20.56</v>
      </c>
      <c r="L20" s="268" t="str">
        <f>VLOOKUP(Tableau15[[#This Row],[Colonne1]],Tableau124[#All],11,FALSE)</f>
        <v>www.addictions-france.org</v>
      </c>
      <c r="M20" s="100" t="str">
        <f>VLOOKUP(Tableau15[[#This Row],[Colonne1]],Tableau124[#All],12,FALSE)</f>
        <v>lundi de 13 h 00 à 19 h 00 
Mardi de 9 h à 12 h 30 et de 13 h 00 à 18 h 00 
Mercredi de 9h à 12 h 30 et de 13 h 30 à 17 h 00
 Jeudi de 9 h à 12 h 30 et de 13 h 30 à 18 h 30 
Vendredi de 9 h à 12 h 30 et de 13 h 30 à 17 h 00</v>
      </c>
      <c r="N20" s="326" t="str">
        <f>VLOOKUP(Tableau15[[#This Row],[Colonne1]],Tableau124[#All],13,FALSE)</f>
        <v>mise à disposition de matériel de consommation à moindre risque ;
proposition de test rapide d'orientation diagnostic (TROD) ; dispositifs anti-overdose à disposition ; présence d'une CJC.</v>
      </c>
    </row>
    <row r="21" spans="1:14" ht="86.5" customHeight="1">
      <c r="B21" s="139">
        <v>257</v>
      </c>
      <c r="C21" s="198" t="str">
        <f>VLOOKUP(Tableau15[[#This Row],[Colonne1]],Tableau124[#All],2,FALSE)</f>
        <v>Saône-et-Loire (71)</v>
      </c>
      <c r="D21" s="198" t="str">
        <f>VLOOKUP(Tableau15[[#This Row],[Colonne1]],Tableau124[#All],3,FALSE)</f>
        <v>Mâcon</v>
      </c>
      <c r="E21" s="198" t="str">
        <f>VLOOKUP(Tableau15[[#This Row],[Colonne1]],Tableau124[#All],4,FALSE)</f>
        <v>71000</v>
      </c>
      <c r="F21" s="198" t="str">
        <f>VLOOKUP(Tableau15[[#This Row],[Colonne1]],Tableau124[#All],5,FALSE)</f>
        <v>Hôpital les Chanaux, Bd Louis Escande</v>
      </c>
      <c r="G21" s="198" t="str">
        <f>VLOOKUP(Tableau15[[#This Row],[Colonne1]],Tableau124[#All],6,FALSE)</f>
        <v>ELSA</v>
      </c>
      <c r="H21" s="198" t="str">
        <f>VLOOKUP(Tableau15[[#This Row],[Colonne1]],Tableau124[#All],7,FALSE)</f>
        <v>Centre Hospitalier les Chanaux, F-71000 Mâcon</v>
      </c>
      <c r="I21" s="198" t="str">
        <f>VLOOKUP(Tableau15[[#This Row],[Colonne1]],Tableau124[#All],8,FALSE)</f>
        <v>Public</v>
      </c>
      <c r="J21" s="355" t="str">
        <f>VLOOKUP(Tableau15[[#This Row],[Colonne1]],Tableau124[#All],9,FALSE)</f>
        <v xml:space="preserve">pamenecier@ch-macon.fr 
 </v>
      </c>
      <c r="K21" s="214" t="str">
        <f>VLOOKUP(Tableau15[[#This Row],[Colonne1]],Tableau124[#All],10,FALSE)</f>
        <v>03 85 27 53 69 (ELSA Polyvalente)  
03 85 27 58 58 (ELSA Tabacologie)</v>
      </c>
      <c r="L21" s="558" t="str">
        <f>VLOOKUP(Tableau15[[#This Row],[Colonne1]],Tableau124[#All],11,FALSE)</f>
        <v>ELSA polyvalente : https://www.ch-macon.fr/patients-usagers/services/addictologie/
Tabacologie : https://www.ch-macon.fr/patients-usagers/services/tabacologie/</v>
      </c>
      <c r="M21" s="353" t="str">
        <f>VLOOKUP(Tableau15[[#This Row],[Colonne1]],Tableau124[#All],12,FALSE)</f>
        <v xml:space="preserve">sur RV répartis dans la semaine du lundi au vendredi de 9h00 à 17h00 </v>
      </c>
      <c r="N21" s="560" t="str">
        <f>VLOOKUP(Tableau15[[#This Row],[Colonne1]],Tableau124[#All],13,FALSE)</f>
        <v xml:space="preserve">ELSA Addictologie polyvalente et tabacologie 
Intervention auprès de tout public   mineurs ou majeurs  
Tous services  : urgences (SAU, UHCD), MCO (médecine chirurgie et maternité), pédiatrie, psychiatrie, SMR, USLD, Ehpad
Procédure de demande d'avis de liaison DPI : Crossway (téléphone réservé aux urgences relatives)
Procédure de rencontre des intoxications éthylique aigues au lendemain de l'ivresse dans les différents services      
Activité particulière développée en périnatalité: addictologie et tabacologie. </v>
      </c>
    </row>
    <row r="22" spans="1:14" ht="86.5" customHeight="1">
      <c r="B22" s="139">
        <v>256</v>
      </c>
      <c r="C22" s="349" t="str">
        <f>VLOOKUP(Tableau15[[#This Row],[Colonne1]],Tableau124[#All],2,FALSE)</f>
        <v>Saône-et-Loire (71)</v>
      </c>
      <c r="D22" s="349" t="str">
        <f>VLOOKUP(Tableau15[[#This Row],[Colonne1]],Tableau124[#All],3,FALSE)</f>
        <v>Mâcon</v>
      </c>
      <c r="E22" s="349" t="str">
        <f>VLOOKUP(Tableau15[[#This Row],[Colonne1]],Tableau124[#All],4,FALSE)</f>
        <v>71000</v>
      </c>
      <c r="F22" s="349" t="str">
        <f>VLOOKUP(Tableau15[[#This Row],[Colonne1]],Tableau124[#All],5,FALSE)</f>
        <v>Hôpital les Chanaux, Bd Louis Escande</v>
      </c>
      <c r="G22" s="349" t="str">
        <f>VLOOKUP(Tableau15[[#This Row],[Colonne1]],Tableau124[#All],6,FALSE)</f>
        <v>Consultations Hospitalières externes d'addictologie</v>
      </c>
      <c r="H22" s="349" t="str">
        <f>VLOOKUP(Tableau15[[#This Row],[Colonne1]],Tableau124[#All],7,FALSE)</f>
        <v>Centre Hospitalier les Chanaux, F-71000 Mâcon</v>
      </c>
      <c r="I22" s="349" t="str">
        <f>VLOOKUP(Tableau15[[#This Row],[Colonne1]],Tableau124[#All],8,FALSE)</f>
        <v>Public</v>
      </c>
      <c r="J22" s="350" t="str">
        <f>VLOOKUP(Tableau15[[#This Row],[Colonne1]],Tableau124[#All],9,FALSE)</f>
        <v>tabacologie@ch-macon.fr
pamenecier@ch-macon.fr</v>
      </c>
      <c r="K22" s="351" t="str">
        <f>VLOOKUP(Tableau15[[#This Row],[Colonne1]],Tableau124[#All],10,FALSE)</f>
        <v>Addictologie Polyvalente        
03 85 27 53 03  RV médecins, 03 85 27 55 63 ou 55 36  RV psychologues
Tabacologie
03 85 27 53 03 pour RV médecin
03 85 27 58 58 pour RV infirmiers
03 85 27 57 68 pour RV psychologue</v>
      </c>
      <c r="L22" s="352" t="str">
        <f>VLOOKUP(Tableau15[[#This Row],[Colonne1]],Tableau124[#All],11,FALSE)</f>
        <v>https://www.ch-macon.fr/patients-usagers/services/tabacologie/
https://www.ch-macon.fr/patients-usagers/services/addictologie/</v>
      </c>
      <c r="M22" s="181" t="str">
        <f>VLOOKUP(Tableau15[[#This Row],[Colonne1]],Tableau124[#All],12,FALSE)</f>
        <v>sur RV répartis dans la semaine entre infirmiers, médecin et psychologue  du lundi au vendredi de 9h00 à 17h00 
Pour la tabaco : sur RV répartis dans la semaine entre médecin et psychologues</v>
      </c>
      <c r="N22" s="354" t="str">
        <f>VLOOKUP(Tableau15[[#This Row],[Colonne1]],Tableau124[#All],13,FALSE)</f>
        <v xml:space="preserve">Consultations Hospitalières externes d'addictologie polyvalente et de tabacologie : Intervention auprès de tout public  </v>
      </c>
    </row>
    <row r="23" spans="1:14" ht="86.5" customHeight="1">
      <c r="B23" s="139">
        <v>180</v>
      </c>
      <c r="C23" s="118" t="str">
        <f>VLOOKUP(Tableau15[[#This Row],[Colonne1]],Tableau124[#All],2,FALSE)</f>
        <v>Saône-et-Loire (71)</v>
      </c>
      <c r="D23" s="118" t="str">
        <f>VLOOKUP(Tableau15[[#This Row],[Colonne1]],Tableau124[#All],3,FALSE)</f>
        <v>Mâcon</v>
      </c>
      <c r="E23" s="118" t="str">
        <f>VLOOKUP(Tableau15[[#This Row],[Colonne1]],Tableau124[#All],4,FALSE)</f>
        <v>71000</v>
      </c>
      <c r="F23" s="118" t="str">
        <f>VLOOKUP(Tableau15[[#This Row],[Colonne1]],Tableau124[#All],5,FALSE)</f>
        <v>Hôpital les Chanaux, Bd L Escandes</v>
      </c>
      <c r="G23" s="117" t="str">
        <f>VLOOKUP(Tableau15[[#This Row],[Colonne1]],Tableau124[#All],6,FALSE)</f>
        <v>Unité d'Hospitalisation complète: Soins simples et Soins complexes</v>
      </c>
      <c r="H23" s="118" t="str">
        <f>VLOOKUP(Tableau15[[#This Row],[Colonne1]],Tableau124[#All],7,FALSE)</f>
        <v>Centre Hospitalier les Chanaux, F-71000 Mâcon</v>
      </c>
      <c r="I23" s="118" t="str">
        <f>VLOOKUP(Tableau15[[#This Row],[Colonne1]],Tableau124[#All],8,FALSE)</f>
        <v>Public</v>
      </c>
      <c r="J23" s="288" t="str">
        <f>VLOOKUP(Tableau15[[#This Row],[Colonne1]],Tableau124[#All],9,FALSE)</f>
        <v>pamenecier@ch-macon.fr</v>
      </c>
      <c r="K23" s="316" t="str">
        <f>VLOOKUP(Tableau15[[#This Row],[Colonne1]],Tableau124[#All],10,FALSE)</f>
        <v>03 85 27 53 69</v>
      </c>
      <c r="L23" s="288" t="str">
        <f>VLOOKUP(Tableau15[[#This Row],[Colonne1]],Tableau124[#All],11,FALSE)</f>
        <v>https://www.ch-macon.fr/patients-usagers/services/addictologie/</v>
      </c>
      <c r="M23" s="215" t="str">
        <f>VLOOKUP(Tableau15[[#This Row],[Colonne1]],Tableau124[#All],12,FALSE)</f>
        <v xml:space="preserve"> </v>
      </c>
      <c r="N23" s="442" t="str">
        <f>VLOOKUP(Tableau15[[#This Row],[Colonne1]],Tableau124[#All],13,FALSE)</f>
        <v xml:space="preserve">- intervention auprès de public majeur ; 
- accueille également des patients pour des sevrages simples </v>
      </c>
    </row>
    <row r="24" spans="1:14" ht="86.5" customHeight="1">
      <c r="B24" s="139">
        <v>181</v>
      </c>
      <c r="C24" s="182" t="str">
        <f>VLOOKUP(Tableau15[[#This Row],[Colonne1]],Tableau124[#All],2,FALSE)</f>
        <v>Saône-et-Loire (71)</v>
      </c>
      <c r="D24" s="182" t="str">
        <f>VLOOKUP(Tableau15[[#This Row],[Colonne1]],Tableau124[#All],3,FALSE)</f>
        <v>Mâcon</v>
      </c>
      <c r="E24" s="182" t="str">
        <f>VLOOKUP(Tableau15[[#This Row],[Colonne1]],Tableau124[#All],4,FALSE)</f>
        <v>71000</v>
      </c>
      <c r="F24" s="182" t="str">
        <f>VLOOKUP(Tableau15[[#This Row],[Colonne1]],Tableau124[#All],5,FALSE)</f>
        <v>88 rue Rambuteau</v>
      </c>
      <c r="G24" s="183" t="str">
        <f>VLOOKUP(Tableau15[[#This Row],[Colonne1]],Tableau124[#All],6,FALSE)</f>
        <v>Unité d'hospitalisation de jour Addictologique</v>
      </c>
      <c r="H24" s="182" t="str">
        <f>VLOOKUP(Tableau15[[#This Row],[Colonne1]],Tableau124[#All],7,FALSE)</f>
        <v>Centre Hospitalier les Chanaux, F-71000 Mâcon</v>
      </c>
      <c r="I24" s="182" t="str">
        <f>VLOOKUP(Tableau15[[#This Row],[Colonne1]],Tableau124[#All],8,FALSE)</f>
        <v>Public</v>
      </c>
      <c r="J24" s="295" t="str">
        <f>VLOOKUP(Tableau15[[#This Row],[Colonne1]],Tableau124[#All],9,FALSE)</f>
        <v>pamenecier@ch-macon.fr</v>
      </c>
      <c r="K24" s="441" t="str">
        <f>VLOOKUP(Tableau15[[#This Row],[Colonne1]],Tableau124[#All],10,FALSE)</f>
        <v>03 85 27 53 69</v>
      </c>
      <c r="L24" s="295" t="str">
        <f>VLOOKUP(Tableau15[[#This Row],[Colonne1]],Tableau124[#All],11,FALSE)</f>
        <v>https://www.ch-macon.fr/patients-usagers/services/addictologie/</v>
      </c>
      <c r="M24" s="209" t="str">
        <f>VLOOKUP(Tableau15[[#This Row],[Colonne1]],Tableau124[#All],12,FALSE)</f>
        <v>Actuellement inactif par défaut de ressources humaines médicales et non médicales</v>
      </c>
      <c r="N24" s="443" t="str">
        <f>VLOOKUP(Tableau15[[#This Row],[Colonne1]],Tableau124[#All],13,FALSE)</f>
        <v>- intervention auprès d'un public majeur</v>
      </c>
    </row>
    <row r="25" spans="1:14" ht="58">
      <c r="B25" s="139">
        <v>175</v>
      </c>
      <c r="C25" s="195" t="str">
        <f>VLOOKUP(Tableau15[[#This Row],[Colonne1]],Tableau124[#All],2,FALSE)</f>
        <v>Saône-et-Loire (71)</v>
      </c>
      <c r="D25" s="195" t="str">
        <f>VLOOKUP(Tableau15[[#This Row],[Colonne1]],Tableau124[#All],3,FALSE)</f>
        <v>Mâcon</v>
      </c>
      <c r="E25" s="195" t="str">
        <f>VLOOKUP(Tableau15[[#This Row],[Colonne1]],Tableau124[#All],4,FALSE)</f>
        <v>71000</v>
      </c>
      <c r="F25" s="195" t="str">
        <f>VLOOKUP(Tableau15[[#This Row],[Colonne1]],Tableau124[#All],5,FALSE)</f>
        <v>71 rue Jean Macé</v>
      </c>
      <c r="G25" s="195" t="str">
        <f>VLOOKUP(Tableau15[[#This Row],[Colonne1]],Tableau124[#All],6,FALSE)</f>
        <v>CJC</v>
      </c>
      <c r="H25" s="195" t="str">
        <f>VLOOKUP(Tableau15[[#This Row],[Colonne1]],Tableau124[#All],7,FALSE)</f>
        <v>Addictions France 71</v>
      </c>
      <c r="I25" s="195" t="str">
        <f>VLOOKUP(Tableau15[[#This Row],[Colonne1]],Tableau124[#All],8,FALSE)</f>
        <v>Associatif</v>
      </c>
      <c r="J25" s="306" t="str">
        <f>VLOOKUP(Tableau15[[#This Row],[Colonne1]],Tableau124[#All],9,FALSE)</f>
        <v>csapa.macon@addictions-France.org</v>
      </c>
      <c r="K25" s="207" t="str">
        <f>VLOOKUP(Tableau15[[#This Row],[Colonne1]],Tableau124[#All],10,FALSE)</f>
        <v>03.85.39.20.56</v>
      </c>
      <c r="L25" s="306" t="str">
        <f>VLOOKUP(Tableau15[[#This Row],[Colonne1]],Tableau124[#All],11,FALSE)</f>
        <v>www.addictions-france.org</v>
      </c>
      <c r="M25" s="222" t="str">
        <f>VLOOKUP(Tableau15[[#This Row],[Colonne1]],Tableau124[#All],12,FALSE)</f>
        <v>Du Lundi au Vendredi 9h 17h</v>
      </c>
      <c r="N25" s="449" t="str">
        <f>VLOOKUP(Tableau15[[#This Row],[Colonne1]],Tableau124[#All],13,FALSE)</f>
        <v xml:space="preserve">- Accueil des familles ; 
- Orientation avec et sans rendez-vous ;
- CJC accessible à la famille et l'entourage ; 
- locaux identiques à ceux du CSAPA. </v>
      </c>
    </row>
    <row r="26" spans="1:14" s="160" customFormat="1" ht="86.5" customHeight="1">
      <c r="A26" s="159"/>
      <c r="B26" s="157">
        <v>183</v>
      </c>
      <c r="C26" s="135" t="str">
        <f>VLOOKUP(Tableau15[[#This Row],[Colonne1]],Tableau124[#All],2,FALSE)</f>
        <v>Saône-et-Loire (71)</v>
      </c>
      <c r="D26" s="135" t="str">
        <f>VLOOKUP(Tableau15[[#This Row],[Colonne1]],Tableau124[#All],3,FALSE)</f>
        <v>Montceau-Les-Mines</v>
      </c>
      <c r="E26" s="135">
        <f>VLOOKUP(Tableau15[[#This Row],[Colonne1]],Tableau124[#All],4,FALSE)</f>
        <v>71300</v>
      </c>
      <c r="F26" s="135" t="str">
        <f>VLOOKUP(Tableau15[[#This Row],[Colonne1]],Tableau124[#All],5,FALSE)</f>
        <v>23 rue de Chalon</v>
      </c>
      <c r="G26" s="135" t="str">
        <f>VLOOKUP(Tableau15[[#This Row],[Colonne1]],Tableau124[#All],6,FALSE)</f>
        <v>Antenne CSAPA</v>
      </c>
      <c r="H26" s="135" t="str">
        <f>VLOOKUP(Tableau15[[#This Row],[Colonne1]],Tableau124[#All],7,FALSE)</f>
        <v>Addictions France 71</v>
      </c>
      <c r="I26" s="135" t="str">
        <f>VLOOKUP(Tableau15[[#This Row],[Colonne1]],Tableau124[#All],8,FALSE)</f>
        <v>Associatif</v>
      </c>
      <c r="J26" s="269" t="str">
        <f>VLOOKUP(Tableau15[[#This Row],[Colonne1]],Tableau124[#All],9,FALSE)</f>
        <v>csapa.montceau@addictions-france.org</v>
      </c>
      <c r="K26" s="199" t="str">
        <f>VLOOKUP(Tableau15[[#This Row],[Colonne1]],Tableau124[#All],10,FALSE)</f>
        <v>0385578533</v>
      </c>
      <c r="L26" s="274" t="str">
        <f>VLOOKUP(Tableau15[[#This Row],[Colonne1]],Tableau124[#All],11,FALSE)</f>
        <v xml:space="preserve">  </v>
      </c>
      <c r="M26" s="100" t="str">
        <f>VLOOKUP(Tableau15[[#This Row],[Colonne1]],Tableau124[#All],12,FALSE)</f>
        <v>Du lundi au vendredi de 09:00 - 12:00 et de 14:00 - 17:00</v>
      </c>
      <c r="N26" s="216" t="str">
        <f>VLOOKUP(Tableau15[[#This Row],[Colonne1]],Tableau124[#All],13,FALSE)</f>
        <v xml:space="preserve">   mise à disposition de matériel de consommation à moindre risque ; présence d'une CJC</v>
      </c>
    </row>
    <row r="27" spans="1:14" ht="86.5" customHeight="1">
      <c r="B27" s="139">
        <v>184</v>
      </c>
      <c r="C27" s="104" t="str">
        <f>VLOOKUP(Tableau15[[#This Row],[Colonne1]],Tableau124[#All],2,FALSE)</f>
        <v>Saône-et-Loire (71)</v>
      </c>
      <c r="D27" s="104" t="str">
        <f>VLOOKUP(Tableau15[[#This Row],[Colonne1]],Tableau124[#All],3,FALSE)</f>
        <v>Montceau-Les-Mines</v>
      </c>
      <c r="E27" s="104" t="str">
        <f>VLOOKUP(Tableau15[[#This Row],[Colonne1]],Tableau124[#All],4,FALSE)</f>
        <v>71300</v>
      </c>
      <c r="F27" s="104" t="str">
        <f>VLOOKUP(Tableau15[[#This Row],[Colonne1]],Tableau124[#All],5,FALSE)</f>
        <v>CH Jean Bouveri, Galuzot BP 189,  Dans plusieurs services</v>
      </c>
      <c r="G27" s="104" t="str">
        <f>VLOOKUP(Tableau15[[#This Row],[Colonne1]],Tableau124[#All],6,FALSE)</f>
        <v>Consultations Hospitalières externes d'addictologie</v>
      </c>
      <c r="H27" s="104" t="str">
        <f>VLOOKUP(Tableau15[[#This Row],[Colonne1]],Tableau124[#All],7,FALSE)</f>
        <v>Centre Hospitalier de Montceau les Mines</v>
      </c>
      <c r="I27" s="104" t="str">
        <f>VLOOKUP(Tableau15[[#This Row],[Colonne1]],Tableau124[#All],8,FALSE)</f>
        <v>Public</v>
      </c>
      <c r="J27" s="265" t="str">
        <f>VLOOKUP(Tableau15[[#This Row],[Colonne1]],Tableau124[#All],9,FALSE)</f>
        <v>contact@ch-montceau71.fr</v>
      </c>
      <c r="K27" s="203" t="str">
        <f>VLOOKUP(Tableau15[[#This Row],[Colonne1]],Tableau124[#All],10,FALSE)</f>
        <v>03 85 67 61 73</v>
      </c>
      <c r="L27" s="273" t="str">
        <f>VLOOKUP(Tableau15[[#This Row],[Colonne1]],Tableau124[#All],11,FALSE)</f>
        <v xml:space="preserve"> </v>
      </c>
      <c r="M27" s="206" t="str">
        <f>VLOOKUP(Tableau15[[#This Row],[Colonne1]],Tableau124[#All],12,FALSE)</f>
        <v>9 h / 17 h tous les jours (du lundi au vendredi)</v>
      </c>
      <c r="N27" s="321" t="str">
        <f>VLOOKUP(Tableau15[[#This Row],[Colonne1]],Tableau124[#All],13,FALSE)</f>
        <v>Intervention auprès de public majeurs et mineurs</v>
      </c>
    </row>
    <row r="28" spans="1:14" ht="85" customHeight="1">
      <c r="B28" s="139">
        <v>187</v>
      </c>
      <c r="C28" s="93" t="str">
        <f>VLOOKUP(Tableau15[[#This Row],[Colonne1]],Tableau124[#All],2,FALSE)</f>
        <v>Saône-et-Loire (71)</v>
      </c>
      <c r="D28" s="93" t="str">
        <f>VLOOKUP(Tableau15[[#This Row],[Colonne1]],Tableau124[#All],3,FALSE)</f>
        <v>Montceau-Les-Mines</v>
      </c>
      <c r="E28" s="93" t="str">
        <f>VLOOKUP(Tableau15[[#This Row],[Colonne1]],Tableau124[#All],4,FALSE)</f>
        <v>71300</v>
      </c>
      <c r="F28" s="93" t="str">
        <f>VLOOKUP(Tableau15[[#This Row],[Colonne1]],Tableau124[#All],5,FALSE)</f>
        <v>CH Jean Bouveri, Galuzot BP 189,  Dans plusieurs services</v>
      </c>
      <c r="G28" s="93" t="str">
        <f>VLOOKUP(Tableau15[[#This Row],[Colonne1]],Tableau124[#All],6,FALSE)</f>
        <v>Sevrage simple</v>
      </c>
      <c r="H28" s="93" t="str">
        <f>VLOOKUP(Tableau15[[#This Row],[Colonne1]],Tableau124[#All],7,FALSE)</f>
        <v>CH Jean Bouveri</v>
      </c>
      <c r="I28" s="93" t="str">
        <f>VLOOKUP(Tableau15[[#This Row],[Colonne1]],Tableau124[#All],8,FALSE)</f>
        <v>Public</v>
      </c>
      <c r="J28" s="280" t="str">
        <f>VLOOKUP(Tableau15[[#This Row],[Colonne1]],Tableau124[#All],9,FALSE)</f>
        <v>contact@ch-montceau71.fr</v>
      </c>
      <c r="K28" s="332" t="str">
        <f>VLOOKUP(Tableau15[[#This Row],[Colonne1]],Tableau124[#All],10,FALSE)</f>
        <v>03 85 67 61 73</v>
      </c>
      <c r="L28" s="274" t="str">
        <f>VLOOKUP(Tableau15[[#This Row],[Colonne1]],Tableau124[#All],11,FALSE)</f>
        <v xml:space="preserve"> </v>
      </c>
      <c r="M28" s="215" t="str">
        <f>VLOOKUP(Tableau15[[#This Row],[Colonne1]],Tableau124[#All],12,FALSE)</f>
        <v xml:space="preserve"> </v>
      </c>
      <c r="N28" s="323" t="str">
        <f>VLOOKUP(Tableau15[[#This Row],[Colonne1]],Tableau124[#All],13,FALSE)</f>
        <v>- interventions auprès d'un public majeur ; 
- lits installés au sein d'une même unité ; 
- une unité de médecine polyvalente.</v>
      </c>
    </row>
    <row r="29" spans="1:14" ht="86.5" customHeight="1">
      <c r="B29" s="139">
        <v>190</v>
      </c>
      <c r="C29" s="118" t="str">
        <f>VLOOKUP(Tableau15[[#This Row],[Colonne1]],Tableau124[#All],2,FALSE)</f>
        <v>Saône-et-Loire (71)</v>
      </c>
      <c r="D29" s="118" t="str">
        <f>VLOOKUP(Tableau15[[#This Row],[Colonne1]],Tableau124[#All],3,FALSE)</f>
        <v>Montceau-Les-Mines</v>
      </c>
      <c r="E29" s="118" t="str">
        <f>VLOOKUP(Tableau15[[#This Row],[Colonne1]],Tableau124[#All],4,FALSE)</f>
        <v>71300</v>
      </c>
      <c r="F29" s="117" t="str">
        <f>VLOOKUP(Tableau15[[#This Row],[Colonne1]],Tableau124[#All],5,FALSE)</f>
        <v>CH Jean Bouveri, Galuzot BP 189,  Dans plusieurs services</v>
      </c>
      <c r="G29" s="117" t="str">
        <f>VLOOKUP(Tableau15[[#This Row],[Colonne1]],Tableau124[#All],6,FALSE)</f>
        <v>Soins complexes</v>
      </c>
      <c r="H29" s="118" t="str">
        <f>VLOOKUP(Tableau15[[#This Row],[Colonne1]],Tableau124[#All],7,FALSE)</f>
        <v>CH Jean Bouveri</v>
      </c>
      <c r="I29" s="118" t="str">
        <f>VLOOKUP(Tableau15[[#This Row],[Colonne1]],Tableau124[#All],8,FALSE)</f>
        <v>Public</v>
      </c>
      <c r="J29" s="439" t="str">
        <f>VLOOKUP(Tableau15[[#This Row],[Colonne1]],Tableau124[#All],9,FALSE)</f>
        <v>Remplir le formulaire de contact : http://www.ch-montceau71.fr/vous-accueillir/nous-contacter/</v>
      </c>
      <c r="K29" s="316" t="str">
        <f>VLOOKUP(Tableau15[[#This Row],[Colonne1]],Tableau124[#All],10,FALSE)</f>
        <v>03 86 67 63 71</v>
      </c>
      <c r="L29" s="274" t="str">
        <f>VLOOKUP(Tableau15[[#This Row],[Colonne1]],Tableau124[#All],11,FALSE)</f>
        <v xml:space="preserve"> </v>
      </c>
      <c r="M29" s="215" t="str">
        <f>VLOOKUP(Tableau15[[#This Row],[Colonne1]],Tableau124[#All],12,FALSE)</f>
        <v xml:space="preserve"> </v>
      </c>
      <c r="N29" s="442" t="str">
        <f>VLOOKUP(Tableau15[[#This Row],[Colonne1]],Tableau124[#All],13,FALSE)</f>
        <v xml:space="preserve">- intervention auprès de public majeur ; 
- accueille également des patients pour des sevrages simples </v>
      </c>
    </row>
    <row r="30" spans="1:14" s="163" customFormat="1" ht="86.5" customHeight="1">
      <c r="A30" s="162"/>
      <c r="B30" s="157">
        <v>242</v>
      </c>
      <c r="C30" s="198" t="str">
        <f>VLOOKUP(Tableau15[[#This Row],[Colonne1]],Tableau124[#All],2,FALSE)</f>
        <v>Saône-et-Loire (71)</v>
      </c>
      <c r="D30" s="198" t="str">
        <f>VLOOKUP(Tableau15[[#This Row],[Colonne1]],Tableau124[#All],3,FALSE)</f>
        <v>Montceau-Les-Mines</v>
      </c>
      <c r="E30" s="198" t="str">
        <f>VLOOKUP(Tableau15[[#This Row],[Colonne1]],Tableau124[#All],4,FALSE)</f>
        <v>71300</v>
      </c>
      <c r="F30" s="198" t="str">
        <f>VLOOKUP(Tableau15[[#This Row],[Colonne1]],Tableau124[#All],5,FALSE)</f>
        <v>CH Jean Bouveri, Galuzot BP 189,  Dans plusieurs services</v>
      </c>
      <c r="G30" s="198" t="str">
        <f>VLOOKUP(Tableau15[[#This Row],[Colonne1]],Tableau124[#All],6,FALSE)</f>
        <v>ELSA</v>
      </c>
      <c r="H30" s="198" t="str">
        <f>VLOOKUP(Tableau15[[#This Row],[Colonne1]],Tableau124[#All],7,FALSE)</f>
        <v>Niveau 2 CH Jean Bouveri</v>
      </c>
      <c r="I30" s="198" t="str">
        <f>VLOOKUP(Tableau15[[#This Row],[Colonne1]],Tableau124[#All],8,FALSE)</f>
        <v>Public</v>
      </c>
      <c r="J30" s="438" t="str">
        <f>VLOOKUP(Tableau15[[#This Row],[Colonne1]],Tableau124[#All],9,FALSE)</f>
        <v>Remplir le formulaire de contact : http://www.ch-montceau71.fr/vous-accueillir/nous-contacter/</v>
      </c>
      <c r="K30" s="440" t="str">
        <f>VLOOKUP(Tableau15[[#This Row],[Colonne1]],Tableau124[#All],10,FALSE)</f>
        <v>03 85 67 61 73</v>
      </c>
      <c r="L30" s="216"/>
      <c r="M30" s="216"/>
      <c r="N30" s="198" t="str">
        <f>VLOOKUP(Tableau15[[#This Row],[Colonne1]],Tableau124[#All],13,FALSE)</f>
        <v>- interventions auprès d'un public majeur ; 
- lits installés au sein d'une même unité ; 
- unité de médecine polyvalente ;
- accueille également des patients pour des sevrages simples ;
- interventions dans tous les services de l'hôpital ;</v>
      </c>
    </row>
    <row r="31" spans="1:14" s="163" customFormat="1" ht="86.5" customHeight="1">
      <c r="A31" s="162"/>
      <c r="B31" s="157">
        <v>241</v>
      </c>
      <c r="C31" s="197" t="str">
        <f>VLOOKUP(Tableau15[[#This Row],[Colonne1]],Tableau124[#All],2,FALSE)</f>
        <v>Saône-et-Loire (71)</v>
      </c>
      <c r="D31" s="197" t="str">
        <f>VLOOKUP(Tableau15[[#This Row],[Colonne1]],Tableau124[#All],3,FALSE)</f>
        <v>Montceau-Les-Mines</v>
      </c>
      <c r="E31" s="197" t="str">
        <f>VLOOKUP(Tableau15[[#This Row],[Colonne1]],Tableau124[#All],4,FALSE)</f>
        <v>71300</v>
      </c>
      <c r="F31" s="197" t="str">
        <f>VLOOKUP(Tableau15[[#This Row],[Colonne1]],Tableau124[#All],5,FALSE)</f>
        <v>CH Jean Bouveri, Galuzot BP 189,  Dans plusieurs services</v>
      </c>
      <c r="G31" s="197" t="str">
        <f>VLOOKUP(Tableau15[[#This Row],[Colonne1]],Tableau124[#All],6,FALSE)</f>
        <v>soins complexes</v>
      </c>
      <c r="H31" s="197" t="str">
        <f>VLOOKUP(Tableau15[[#This Row],[Colonne1]],Tableau124[#All],7,FALSE)</f>
        <v>Niveau 2 CH Jean Bouveri</v>
      </c>
      <c r="I31" s="197" t="str">
        <f>VLOOKUP(Tableau15[[#This Row],[Colonne1]],Tableau124[#All],8,FALSE)</f>
        <v>Public</v>
      </c>
      <c r="J31" s="356" t="str">
        <f>VLOOKUP(Tableau15[[#This Row],[Colonne1]],Tableau124[#All],9,FALSE)</f>
        <v>Remplir le formulaire de contact : http://www.ch-montceau71.fr/vous-accueillir/nous-contacter/</v>
      </c>
      <c r="K31" s="339" t="str">
        <f>VLOOKUP(Tableau15[[#This Row],[Colonne1]],Tableau124[#All],10,FALSE)</f>
        <v>03 85 67 61 73</v>
      </c>
      <c r="L31" s="273"/>
      <c r="M31" s="273"/>
      <c r="N31" s="197" t="str">
        <f>VLOOKUP(Tableau15[[#This Row],[Colonne1]],Tableau124[#All],13,FALSE)</f>
        <v>- interventions auprès d'un public majeur ; 
- lits installés au sein d'une même unité ; 
- unité de médecine polyvalente ;
- accueille également des patients pour des sevrages simples ;
- interventions dans tous les services de l'hôpital ;</v>
      </c>
    </row>
    <row r="32" spans="1:14" s="163" customFormat="1" ht="162" customHeight="1">
      <c r="A32" s="162"/>
      <c r="B32" s="557">
        <v>258</v>
      </c>
      <c r="C32" s="283" t="str">
        <f>VLOOKUP(Tableau15[[#This Row],[Colonne1]],Tableau124[#All],2,FALSE)</f>
        <v>Saône-et-Loire (71)</v>
      </c>
      <c r="D32" s="283" t="str">
        <f>VLOOKUP(Tableau15[[#This Row],[Colonne1]],Tableau124[#All],3,FALSE)</f>
        <v>Montceau-Les-Mines</v>
      </c>
      <c r="E32" s="283" t="str">
        <f>VLOOKUP(Tableau15[[#This Row],[Colonne1]],Tableau124[#All],4,FALSE)</f>
        <v>71300</v>
      </c>
      <c r="F32" s="283" t="str">
        <f>VLOOKUP(Tableau15[[#This Row],[Colonne1]],Tableau124[#All],5,FALSE)</f>
        <v>CH Jean Bouveri, Galuzot BP 189,  Dans plusieurs services</v>
      </c>
      <c r="G32" s="283" t="str">
        <f>VLOOKUP(Tableau15[[#This Row],[Colonne1]],Tableau124[#All],6,FALSE)</f>
        <v>SMRA</v>
      </c>
      <c r="H32" s="283" t="str">
        <f>VLOOKUP(Tableau15[[#This Row],[Colonne1]],Tableau124[#All],7,FALSE)</f>
        <v>Niveau 2 CH Jean Bouveri</v>
      </c>
      <c r="I32" s="283" t="str">
        <f>VLOOKUP(Tableau15[[#This Row],[Colonne1]],Tableau124[#All],8,FALSE)</f>
        <v>Public</v>
      </c>
      <c r="J32" s="483" t="str">
        <f>VLOOKUP(Tableau15[[#This Row],[Colonne1]],Tableau124[#All],9,FALSE)</f>
        <v>Remplir le formulaire de contact : http://www.ch-montceau71.fr/vous-accueillir/nous-contacter/</v>
      </c>
      <c r="K32" s="484" t="str">
        <f>VLOOKUP(Tableau15[[#This Row],[Colonne1]],Tableau124[#All],10,FALSE)</f>
        <v>03 85 67 61 73</v>
      </c>
      <c r="L32" s="483">
        <f>VLOOKUP(Tableau15[[#This Row],[Colonne1]],Tableau124[#All],11,FALSE)</f>
        <v>0</v>
      </c>
      <c r="M32" s="283">
        <f>VLOOKUP(Tableau15[[#This Row],[Colonne1]],Tableau124[#All],12,FALSE)</f>
        <v>0</v>
      </c>
      <c r="N32" s="283" t="str">
        <f>VLOOKUP(Tableau15[[#This Row],[Colonne1]],Tableau124[#All],13,FALSE)</f>
        <v>- interventions auprès d'un public majeur ; 
- lits installés au sein d'une même unité ; 
- unité de médecine polyvalente ;
- accueille également des patients pour des sevrages simples ;
- interventions dans tous les services de l'hôpital ;</v>
      </c>
    </row>
    <row r="33" spans="2:16" ht="86.5" customHeight="1">
      <c r="B33" s="139">
        <v>191</v>
      </c>
      <c r="C33" s="135" t="str">
        <f>VLOOKUP(Tableau15[[#This Row],[Colonne1]],Tableau124[#All],2,FALSE)</f>
        <v>Saône-et-Loire (71)</v>
      </c>
      <c r="D33" s="135" t="str">
        <f>VLOOKUP(Tableau15[[#This Row],[Colonne1]],Tableau124[#All],3,FALSE)</f>
        <v>Paray Le Monial</v>
      </c>
      <c r="E33" s="135">
        <f>VLOOKUP(Tableau15[[#This Row],[Colonne1]],Tableau124[#All],4,FALSE)</f>
        <v>71600</v>
      </c>
      <c r="F33" s="135" t="str">
        <f>VLOOKUP(Tableau15[[#This Row],[Colonne1]],Tableau124[#All],5,FALSE)</f>
        <v>3 Quai de l'Industrie</v>
      </c>
      <c r="G33" s="135" t="str">
        <f>VLOOKUP(Tableau15[[#This Row],[Colonne1]],Tableau124[#All],6,FALSE)</f>
        <v>Antenne CSAPA</v>
      </c>
      <c r="H33" s="135" t="str">
        <f>VLOOKUP(Tableau15[[#This Row],[Colonne1]],Tableau124[#All],7,FALSE)</f>
        <v>Addictions France 71</v>
      </c>
      <c r="I33" s="135" t="str">
        <f>VLOOKUP(Tableau15[[#This Row],[Colonne1]],Tableau124[#All],8,FALSE)</f>
        <v>Associatif</v>
      </c>
      <c r="J33" s="269" t="str">
        <f>VLOOKUP(Tableau15[[#This Row],[Colonne1]],Tableau124[#All],9,FALSE)</f>
        <v>csapa.paraylemonial@addictions-France.org</v>
      </c>
      <c r="K33" s="199" t="str">
        <f>VLOOKUP(Tableau15[[#This Row],[Colonne1]],Tableau124[#All],10,FALSE)</f>
        <v>0385810906</v>
      </c>
      <c r="L33" s="273" t="str">
        <f>VLOOKUP(Tableau15[[#This Row],[Colonne1]],Tableau124[#All],11,FALSE)</f>
        <v xml:space="preserve"> </v>
      </c>
      <c r="M33" s="96" t="str">
        <f>VLOOKUP(Tableau15[[#This Row],[Colonne1]],Tableau124[#All],12,FALSE)</f>
        <v>Lundi et mardi 9h 12h30 et 13h 18h
Mercredi : 9h à 12h
Jeudi 9h 12h30 et 13h 18h
Vendredi 9h12h30 et 13h 16h</v>
      </c>
      <c r="N33" s="216" t="str">
        <f>VLOOKUP(Tableau15[[#This Row],[Colonne1]],Tableau124[#All],13,FALSE)</f>
        <v xml:space="preserve">mise à disposition de matériel de consommation à moindre risque ; présence d'une CJC  </v>
      </c>
      <c r="O33" s="160"/>
      <c r="P33" s="160"/>
    </row>
    <row r="34" spans="2:16" ht="86.5" customHeight="1">
      <c r="B34" s="139">
        <v>192</v>
      </c>
      <c r="C34" s="119" t="str">
        <f>VLOOKUP(Tableau15[[#This Row],[Colonne1]],Tableau124[#All],2,FALSE)</f>
        <v>Saône-et-Loire (71)</v>
      </c>
      <c r="D34" s="119" t="str">
        <f>VLOOKUP(Tableau15[[#This Row],[Colonne1]],Tableau124[#All],3,FALSE)</f>
        <v>Sevrey</v>
      </c>
      <c r="E34" s="119">
        <f>VLOOKUP(Tableau15[[#This Row],[Colonne1]],Tableau124[#All],4,FALSE)</f>
        <v>71100</v>
      </c>
      <c r="F34" s="119" t="str">
        <f>VLOOKUP(Tableau15[[#This Row],[Colonne1]],Tableau124[#All],5,FALSE)</f>
        <v>EPSM71, 55 rue auguste champion 71100 SEVREY, dans plusieurs services</v>
      </c>
      <c r="G34" s="121" t="str">
        <f>VLOOKUP(Tableau15[[#This Row],[Colonne1]],Tableau124[#All],6,FALSE)</f>
        <v>ELSA</v>
      </c>
      <c r="H34" s="119" t="str">
        <f>VLOOKUP(Tableau15[[#This Row],[Colonne1]],Tableau124[#All],7,FALSE)</f>
        <v>EPSM 71</v>
      </c>
      <c r="I34" s="119" t="str">
        <f>VLOOKUP(Tableau15[[#This Row],[Colonne1]],Tableau124[#All],8,FALSE)</f>
        <v>Public</v>
      </c>
      <c r="J34" s="276" t="str">
        <f>VLOOKUP(Tableau15[[#This Row],[Colonne1]],Tableau124[#All],9,FALSE)</f>
        <v>iris2.docs@epsm71.fr</v>
      </c>
      <c r="K34" s="308" t="str">
        <f>VLOOKUP(Tableau15[[#This Row],[Colonne1]],Tableau124[#All],10,FALSE)</f>
        <v>03 85 92 82 04</v>
      </c>
      <c r="L34" s="276" t="str">
        <f>VLOOKUP(Tableau15[[#This Row],[Colonne1]],Tableau124[#All],11,FALSE)</f>
        <v>https://www.epsm71.fr</v>
      </c>
      <c r="M34" s="215" t="str">
        <f>VLOOKUP(Tableau15[[#This Row],[Colonne1]],Tableau124[#All],12,FALSE)</f>
        <v>du lundi au vendredi de 9h à 17h</v>
      </c>
      <c r="N34" s="322" t="str">
        <f>VLOOKUP(Tableau15[[#This Row],[Colonne1]],Tableau124[#All],13,FALSE)</f>
        <v>intervention aupres de public mineur et majeur, intervention dans tous les services de l'epsm71 en sanitaires et medico-social</v>
      </c>
    </row>
    <row r="35" spans="2:16" ht="86.5" customHeight="1">
      <c r="B35" s="169">
        <v>193</v>
      </c>
      <c r="C35" s="118" t="str">
        <f>VLOOKUP(Tableau15[[#This Row],[Colonne1]],Tableau124[#All],2,FALSE)</f>
        <v>Saône-et-Loire (71)</v>
      </c>
      <c r="D35" s="118" t="str">
        <f>VLOOKUP(Tableau15[[#This Row],[Colonne1]],Tableau124[#All],3,FALSE)</f>
        <v>Sevrey</v>
      </c>
      <c r="E35" s="118" t="str">
        <f>VLOOKUP(Tableau15[[#This Row],[Colonne1]],Tableau124[#All],4,FALSE)</f>
        <v>71100</v>
      </c>
      <c r="F35" s="118" t="str">
        <f>VLOOKUP(Tableau15[[#This Row],[Colonne1]],Tableau124[#All],5,FALSE)</f>
        <v>EPSM71, Unité Médicale d'Hospitalisation en Addictologie, 55 rue auguste champion 71100 SEVREY</v>
      </c>
      <c r="G35" s="117" t="str">
        <f>VLOOKUP(Tableau15[[#This Row],[Colonne1]],Tableau124[#All],6,FALSE)</f>
        <v>Soins complexes</v>
      </c>
      <c r="H35" s="118" t="str">
        <f>VLOOKUP(Tableau15[[#This Row],[Colonne1]],Tableau124[#All],7,FALSE)</f>
        <v>EPSM 71</v>
      </c>
      <c r="I35" s="118" t="str">
        <f>VLOOKUP(Tableau15[[#This Row],[Colonne1]],Tableau124[#All],8,FALSE)</f>
        <v>Public</v>
      </c>
      <c r="J35" s="287" t="str">
        <f>VLOOKUP(Tableau15[[#This Row],[Colonne1]],Tableau124[#All],9,FALSE)</f>
        <v>iris2.docs@epsm71.fr</v>
      </c>
      <c r="K35" s="312" t="str">
        <f>VLOOKUP(Tableau15[[#This Row],[Colonne1]],Tableau124[#All],10,FALSE)</f>
        <v>03 85 92 82 04</v>
      </c>
      <c r="L35" s="287" t="str">
        <f>VLOOKUP(Tableau15[[#This Row],[Colonne1]],Tableau124[#All],11,FALSE)</f>
        <v>https://www.epsm71.fr</v>
      </c>
      <c r="M35" s="216" t="str">
        <f>VLOOKUP(Tableau15[[#This Row],[Colonne1]],Tableau124[#All],12,FALSE)</f>
        <v>en continue 24h/24h</v>
      </c>
      <c r="N35" s="236" t="str">
        <f>VLOOKUP(Tableau15[[#This Row],[Colonne1]],Tableau124[#All],13,FALSE)</f>
        <v xml:space="preserve">- intervention auprès de public majeur ; 
</v>
      </c>
    </row>
    <row r="36" spans="2:16" ht="86.5" customHeight="1"/>
    <row r="37" spans="2:16" ht="86.5" customHeight="1"/>
    <row r="38" spans="2:16" ht="86.5" customHeight="1"/>
  </sheetData>
  <mergeCells count="1">
    <mergeCell ref="C3:O3"/>
  </mergeCell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6">
    <tabColor rgb="FFC39BE1"/>
  </sheetPr>
  <dimension ref="A1:O39"/>
  <sheetViews>
    <sheetView zoomScale="40" zoomScaleNormal="40" workbookViewId="0">
      <selection activeCell="A27" sqref="A27:XFD27"/>
    </sheetView>
  </sheetViews>
  <sheetFormatPr baseColWidth="10" defaultColWidth="10.54296875" defaultRowHeight="14.5"/>
  <cols>
    <col min="1" max="1" width="16.54296875" style="48" customWidth="1"/>
    <col min="2" max="2" width="15.26953125" style="1" customWidth="1"/>
    <col min="3" max="3" width="33.1796875" style="1" customWidth="1"/>
    <col min="4" max="4" width="53.81640625" style="1" customWidth="1"/>
    <col min="5" max="5" width="24.1796875" style="1" customWidth="1"/>
    <col min="6" max="6" width="30.54296875" style="1" customWidth="1"/>
    <col min="7" max="7" width="29.453125" style="1" customWidth="1"/>
    <col min="8" max="8" width="28.7265625" style="1" customWidth="1"/>
    <col min="9" max="9" width="33.1796875" style="1" customWidth="1"/>
    <col min="10" max="10" width="20.453125" style="1" customWidth="1"/>
    <col min="11" max="11" width="29.81640625" style="1" customWidth="1"/>
    <col min="12" max="12" width="23.453125" style="1" customWidth="1"/>
    <col min="13" max="13" width="35.1796875" style="1" customWidth="1"/>
    <col min="14" max="14" width="54.453125" style="1" customWidth="1"/>
    <col min="15" max="15" width="16.453125" style="1" customWidth="1"/>
    <col min="16" max="16384" width="10.54296875" style="1"/>
  </cols>
  <sheetData>
    <row r="1" spans="1:15" ht="57.65" customHeight="1">
      <c r="B1" s="48"/>
      <c r="C1" s="48"/>
      <c r="D1" s="48"/>
      <c r="E1" s="48"/>
      <c r="F1" s="48"/>
      <c r="G1" s="48"/>
      <c r="H1" s="48"/>
      <c r="I1" s="48"/>
      <c r="J1" s="48"/>
      <c r="K1" s="48"/>
      <c r="L1" s="48"/>
      <c r="M1" s="48"/>
      <c r="N1" s="48"/>
    </row>
    <row r="3" spans="1:15" ht="18.5">
      <c r="C3" s="618" t="s">
        <v>1019</v>
      </c>
      <c r="D3" s="618"/>
      <c r="E3" s="618"/>
      <c r="F3" s="618"/>
      <c r="G3" s="618"/>
      <c r="H3" s="618"/>
      <c r="I3" s="618"/>
      <c r="J3" s="618"/>
      <c r="K3" s="618"/>
      <c r="L3" s="618"/>
      <c r="M3" s="618"/>
      <c r="N3" s="618"/>
      <c r="O3" s="618"/>
    </row>
    <row r="5" spans="1:15" ht="47.15" customHeight="1">
      <c r="A5" s="49"/>
      <c r="B5" s="1" t="s">
        <v>1013</v>
      </c>
      <c r="C5" s="60" t="s">
        <v>18</v>
      </c>
      <c r="D5" s="60" t="s">
        <v>19</v>
      </c>
      <c r="E5" s="60" t="s">
        <v>20</v>
      </c>
      <c r="F5" s="60" t="s">
        <v>21</v>
      </c>
      <c r="G5" s="60" t="s">
        <v>22</v>
      </c>
      <c r="H5" s="60" t="s">
        <v>23</v>
      </c>
      <c r="I5" s="60" t="s">
        <v>24</v>
      </c>
      <c r="J5" s="60" t="s">
        <v>25</v>
      </c>
      <c r="K5" s="60" t="s">
        <v>26</v>
      </c>
      <c r="L5" s="60" t="s">
        <v>27</v>
      </c>
      <c r="M5" s="60" t="s">
        <v>28</v>
      </c>
      <c r="N5" s="146" t="s">
        <v>29</v>
      </c>
    </row>
    <row r="6" spans="1:15" ht="86.5" customHeight="1">
      <c r="B6" s="139">
        <v>208</v>
      </c>
      <c r="C6" s="171" t="str">
        <f>VLOOKUP(Tableau17[[#This Row],[Colonne1]],Tableau124[#All],2,FALSE)</f>
        <v>Yonne (89)</v>
      </c>
      <c r="D6" s="171" t="str">
        <f>VLOOKUP(Tableau17[[#This Row],[Colonne1]],Tableau124[#All],3,FALSE)</f>
        <v>Auxerre</v>
      </c>
      <c r="E6" s="171" t="str">
        <f>VLOOKUP(Tableau17[[#This Row],[Colonne1]],Tableau124[#All],4,FALSE)</f>
        <v>89000</v>
      </c>
      <c r="F6" s="171" t="str">
        <f>VLOOKUP(Tableau17[[#This Row],[Colonne1]],Tableau124[#All],5,FALSE)</f>
        <v>8 Rue Colonel Rozanoff</v>
      </c>
      <c r="G6" s="171" t="str">
        <f>VLOOKUP(Tableau17[[#This Row],[Colonne1]],Tableau124[#All],6,FALSE)</f>
        <v>CAARUD</v>
      </c>
      <c r="H6" s="171" t="str">
        <f>VLOOKUP(Tableau17[[#This Row],[Colonne1]],Tableau124[#All],7,FALSE)</f>
        <v>CAARUD Addictions France</v>
      </c>
      <c r="I6" s="171" t="str">
        <f>VLOOKUP(Tableau17[[#This Row],[Colonne1]],Tableau124[#All],8,FALSE)</f>
        <v>Associatif</v>
      </c>
      <c r="J6" s="298" t="str">
        <f>VLOOKUP(Tableau17[[#This Row],[Colonne1]],Tableau124[#All],9,FALSE)</f>
        <v>caarud.auxerre@addictions-france.org</v>
      </c>
      <c r="K6" s="210" t="str">
        <f>VLOOKUP(Tableau17[[#This Row],[Colonne1]],Tableau124[#All],10,FALSE)</f>
        <v>03.86.33.76.41</v>
      </c>
      <c r="L6" s="298" t="str">
        <f>VLOOKUP(Tableau17[[#This Row],[Colonne1]],Tableau124[#All],11,FALSE)</f>
        <v>www.addictions-france.org</v>
      </c>
      <c r="M6" s="221" t="str">
        <f>VLOOKUP(Tableau17[[#This Row],[Colonne1]],Tableau124[#All],12,FALSE)</f>
        <v xml:space="preserve"> lundi mardi et jeudi 9h30-13h / 13h30-17h45
vendredi 9h-12h / 13h30-17h45 
fermé le mercredi</v>
      </c>
      <c r="N6" s="421" t="str">
        <f>VLOOKUP(Tableau17[[#This Row],[Colonne1]],Tableau124[#All],13,FALSE)</f>
        <v xml:space="preserve">- unité mobile pouvant servir de lieu d'accueil (déplacement sur tout le département) ; 
- intervention en maraude ; 
- programme d'échange de seringues ;
- intervention en milieu festif. </v>
      </c>
    </row>
    <row r="7" spans="1:15" ht="86.5" customHeight="1">
      <c r="B7" s="139">
        <v>210</v>
      </c>
      <c r="C7" s="104" t="str">
        <f>VLOOKUP(Tableau17[[#This Row],[Colonne1]],Tableau124[#All],2,FALSE)</f>
        <v>Yonne (89)</v>
      </c>
      <c r="D7" s="104" t="str">
        <f>VLOOKUP(Tableau17[[#This Row],[Colonne1]],Tableau124[#All],3,FALSE)</f>
        <v>Auxerre</v>
      </c>
      <c r="E7" s="104" t="str">
        <f>VLOOKUP(Tableau17[[#This Row],[Colonne1]],Tableau124[#All],4,FALSE)</f>
        <v>89000</v>
      </c>
      <c r="F7" s="104" t="str">
        <f>VLOOKUP(Tableau17[[#This Row],[Colonne1]],Tableau124[#All],5,FALSE)</f>
        <v>2, boulevard de Verdun</v>
      </c>
      <c r="G7" s="104" t="str">
        <f>VLOOKUP(Tableau17[[#This Row],[Colonne1]],Tableau124[#All],6,FALSE)</f>
        <v>Consultations Hospitalières externes d'addictologie</v>
      </c>
      <c r="H7" s="104" t="str">
        <f>VLOOKUP(Tableau17[[#This Row],[Colonne1]],Tableau124[#All],7,FALSE)</f>
        <v>CENTRE HOSPITALIER d'AUXERRE</v>
      </c>
      <c r="I7" s="104" t="str">
        <f>VLOOKUP(Tableau17[[#This Row],[Colonne1]],Tableau124[#All],8,FALSE)</f>
        <v>Public</v>
      </c>
      <c r="J7" s="265" t="str">
        <f>VLOOKUP(Tableau17[[#This Row],[Colonne1]],Tableau124[#All],9,FALSE)</f>
        <v>scdag@ch-auxerre.fr</v>
      </c>
      <c r="K7" s="203" t="str">
        <f>VLOOKUP(Tableau17[[#This Row],[Colonne1]],Tableau124[#All],10,FALSE)</f>
        <v>03-86-48-48-62</v>
      </c>
      <c r="L7" s="264" t="str">
        <f>VLOOKUP(Tableau17[[#This Row],[Colonne1]],Tableau124[#All],11,FALSE)</f>
        <v>https://www.ght-unyon.fr/</v>
      </c>
      <c r="M7" s="206" t="str">
        <f>VLOOKUP(Tableau17[[#This Row],[Colonne1]],Tableau124[#All],12,FALSE)</f>
        <v>Sur rendez vous du lundi au vendredi</v>
      </c>
      <c r="N7" s="321" t="str">
        <f>VLOOKUP(Tableau17[[#This Row],[Colonne1]],Tableau124[#All],13,FALSE)</f>
        <v>Intervention auprès de public majeurs et mineurs</v>
      </c>
    </row>
    <row r="8" spans="1:15" ht="86.5" customHeight="1">
      <c r="B8" s="139">
        <v>215</v>
      </c>
      <c r="C8" s="119" t="str">
        <f>VLOOKUP(Tableau17[[#This Row],[Colonne1]],Tableau124[#All],2,FALSE)</f>
        <v>Yonne (89)</v>
      </c>
      <c r="D8" s="119" t="str">
        <f>VLOOKUP(Tableau17[[#This Row],[Colonne1]],Tableau124[#All],3,FALSE)</f>
        <v>Auxerre</v>
      </c>
      <c r="E8" s="119" t="str">
        <f>VLOOKUP(Tableau17[[#This Row],[Colonne1]],Tableau124[#All],4,FALSE)</f>
        <v>89000</v>
      </c>
      <c r="F8" s="119" t="str">
        <f>VLOOKUP(Tableau17[[#This Row],[Colonne1]],Tableau124[#All],5,FALSE)</f>
        <v>CENTRE HOSPITALIER d'AUXERRE, 2 boulevard de Verdun, Dans plusieurs services</v>
      </c>
      <c r="G8" s="121" t="str">
        <f>VLOOKUP(Tableau17[[#This Row],[Colonne1]],Tableau124[#All],6,FALSE)</f>
        <v>ELSA</v>
      </c>
      <c r="H8" s="119" t="str">
        <f>VLOOKUP(Tableau17[[#This Row],[Colonne1]],Tableau124[#All],7,FALSE)</f>
        <v>CENTRE HOSPITALIER d'AUXERRE</v>
      </c>
      <c r="I8" s="119" t="str">
        <f>VLOOKUP(Tableau17[[#This Row],[Colonne1]],Tableau124[#All],8,FALSE)</f>
        <v>Public</v>
      </c>
      <c r="J8" s="276" t="str">
        <f>VLOOKUP(Tableau17[[#This Row],[Colonne1]],Tableau124[#All],9,FALSE)</f>
        <v>scdag@ch-auxerre.fr</v>
      </c>
      <c r="K8" s="308" t="str">
        <f>VLOOKUP(Tableau17[[#This Row],[Colonne1]],Tableau124[#All],10,FALSE)</f>
        <v>03-86-48-48-62</v>
      </c>
      <c r="L8" s="276" t="str">
        <f>VLOOKUP(Tableau17[[#This Row],[Colonne1]],Tableau124[#All],11,FALSE)</f>
        <v>https://www.ght-unyon.fr/</v>
      </c>
      <c r="M8" s="215" t="str">
        <f>VLOOKUP(Tableau17[[#This Row],[Colonne1]],Tableau124[#All],12,FALSE)</f>
        <v xml:space="preserve"> </v>
      </c>
      <c r="N8" s="322" t="str">
        <f>VLOOKUP(Tableau17[[#This Row],[Colonne1]],Tableau124[#All],13,FALSE)</f>
        <v>- intervention auprès de public majeur ; 
- Intervention au sein de tous les services du CHA y compris en pédiatrie avec des mineurs</v>
      </c>
    </row>
    <row r="9" spans="1:15" ht="86.5" customHeight="1">
      <c r="B9" s="139">
        <v>217</v>
      </c>
      <c r="C9" s="93" t="str">
        <f>VLOOKUP(Tableau17[[#This Row],[Colonne1]],Tableau124[#All],2,FALSE)</f>
        <v>Yonne (89)</v>
      </c>
      <c r="D9" s="93" t="str">
        <f>VLOOKUP(Tableau17[[#This Row],[Colonne1]],Tableau124[#All],3,FALSE)</f>
        <v>Auxerre</v>
      </c>
      <c r="E9" s="93" t="str">
        <f>VLOOKUP(Tableau17[[#This Row],[Colonne1]],Tableau124[#All],4,FALSE)</f>
        <v>89000</v>
      </c>
      <c r="F9" s="93" t="str">
        <f>VLOOKUP(Tableau17[[#This Row],[Colonne1]],Tableau124[#All],5,FALSE)</f>
        <v>2 boulevard Verdun</v>
      </c>
      <c r="G9" s="93" t="str">
        <f>VLOOKUP(Tableau17[[#This Row],[Colonne1]],Tableau124[#All],6,FALSE)</f>
        <v>Sevrage simple</v>
      </c>
      <c r="H9" s="93" t="str">
        <f>VLOOKUP(Tableau17[[#This Row],[Colonne1]],Tableau124[#All],7,FALSE)</f>
        <v>CENTRE HOSPITALIER d'AUXERRE</v>
      </c>
      <c r="I9" s="93" t="str">
        <f>VLOOKUP(Tableau17[[#This Row],[Colonne1]],Tableau124[#All],8,FALSE)</f>
        <v>Public</v>
      </c>
      <c r="J9" s="280" t="str">
        <f>VLOOKUP(Tableau17[[#This Row],[Colonne1]],Tableau124[#All],9,FALSE)</f>
        <v>scdag@ch-auxerre.fr</v>
      </c>
      <c r="K9" s="332" t="str">
        <f>VLOOKUP(Tableau17[[#This Row],[Colonne1]],Tableau124[#All],10,FALSE)</f>
        <v>03-86-48-48-62</v>
      </c>
      <c r="L9" s="280" t="str">
        <f>VLOOKUP(Tableau17[[#This Row],[Colonne1]],Tableau124[#All],11,FALSE)</f>
        <v>https://www.ght-unyon.fr/</v>
      </c>
      <c r="M9" s="215" t="str">
        <f>VLOOKUP(Tableau17[[#This Row],[Colonne1]],Tableau124[#All],12,FALSE)</f>
        <v xml:space="preserve"> </v>
      </c>
      <c r="N9" s="323" t="str">
        <f>VLOOKUP(Tableau17[[#This Row],[Colonne1]],Tableau124[#All],13,FALSE)</f>
        <v>- intervention auprès de public majeur et mineur ; 
- lits installés au sein d'une même unité ; 
- unité hépatogastrologie</v>
      </c>
    </row>
    <row r="10" spans="1:15" ht="86.5" customHeight="1">
      <c r="B10" s="139">
        <v>221</v>
      </c>
      <c r="C10" s="187" t="str">
        <f>VLOOKUP(Tableau17[[#This Row],[Colonne1]],Tableau124[#All],2,FALSE)</f>
        <v>Yonne (89)</v>
      </c>
      <c r="D10" s="187" t="str">
        <f>VLOOKUP(Tableau17[[#This Row],[Colonne1]],Tableau124[#All],3,FALSE)</f>
        <v>Auxerre</v>
      </c>
      <c r="E10" s="187" t="str">
        <f>VLOOKUP(Tableau17[[#This Row],[Colonne1]],Tableau124[#All],4,FALSE)</f>
        <v>89000</v>
      </c>
      <c r="F10" s="187" t="str">
        <f>VLOOKUP(Tableau17[[#This Row],[Colonne1]],Tableau124[#All],5,FALSE)</f>
        <v>Maison d’arrêt d’Auxerre;Centre de détention de Joux-la-Ville</v>
      </c>
      <c r="G10" s="187" t="str">
        <f>VLOOKUP(Tableau17[[#This Row],[Colonne1]],Tableau124[#All],6,FALSE)</f>
        <v>Unité sanitaire en milieu pénitentiaire</v>
      </c>
      <c r="H10" s="188" t="str">
        <f>VLOOKUP(Tableau17[[#This Row],[Colonne1]],Tableau124[#All],7,FALSE)</f>
        <v>CENTRE HOSPITALIER d'AUXERRE</v>
      </c>
      <c r="I10" s="187" t="str">
        <f>VLOOKUP(Tableau17[[#This Row],[Colonne1]],Tableau124[#All],8,FALSE)</f>
        <v>Public</v>
      </c>
      <c r="J10" s="299" t="str">
        <f>VLOOKUP(Tableau17[[#This Row],[Colonne1]],Tableau124[#All],9,FALSE)</f>
        <v>scdag@ch-auxerre.fr</v>
      </c>
      <c r="K10" s="335" t="str">
        <f>VLOOKUP(Tableau17[[#This Row],[Colonne1]],Tableau124[#All],10,FALSE)</f>
        <v>03-86-48-48-62</v>
      </c>
      <c r="L10" s="510" t="str">
        <f>VLOOKUP(Tableau17[[#This Row],[Colonne1]],Tableau124[#All],11,FALSE)</f>
        <v>https://www.ght-unyon.fr/</v>
      </c>
      <c r="M10" s="215" t="str">
        <f>VLOOKUP(Tableau17[[#This Row],[Colonne1]],Tableau124[#All],12,FALSE)</f>
        <v xml:space="preserve"> </v>
      </c>
      <c r="N10" s="554" t="str">
        <f>VLOOKUP(Tableau17[[#This Row],[Colonne1]],Tableau124[#All],13,FALSE)</f>
        <v>- unité de consultations et de soins ambulatoires (UCSA) ;
- intervention de niveau 1 (consultations, prestations et activités ambulatoires).</v>
      </c>
    </row>
    <row r="11" spans="1:15" ht="86.5" customHeight="1">
      <c r="B11" s="139">
        <v>216</v>
      </c>
      <c r="C11" s="119" t="str">
        <f>VLOOKUP(Tableau17[[#This Row],[Colonne1]],Tableau124[#All],2,FALSE)</f>
        <v>Yonne (89)</v>
      </c>
      <c r="D11" s="119" t="str">
        <f>VLOOKUP(Tableau17[[#This Row],[Colonne1]],Tableau124[#All],3,FALSE)</f>
        <v>Auxerre</v>
      </c>
      <c r="E11" s="119">
        <f>VLOOKUP(Tableau17[[#This Row],[Colonne1]],Tableau124[#All],4,FALSE)</f>
        <v>89000</v>
      </c>
      <c r="F11" s="119" t="str">
        <f>VLOOKUP(Tableau17[[#This Row],[Colonne1]],Tableau124[#All],5,FALSE)</f>
        <v>4 Av. Pierre Scherrer</v>
      </c>
      <c r="G11" s="121" t="str">
        <f>VLOOKUP(Tableau17[[#This Row],[Colonne1]],Tableau124[#All],6,FALSE)</f>
        <v>ELSA</v>
      </c>
      <c r="H11" s="119" t="str">
        <f>VLOOKUP(Tableau17[[#This Row],[Colonne1]],Tableau124[#All],7,FALSE)</f>
        <v>CHS Yonne</v>
      </c>
      <c r="I11" s="119" t="str">
        <f>VLOOKUP(Tableau17[[#This Row],[Colonne1]],Tableau124[#All],8,FALSE)</f>
        <v>Public</v>
      </c>
      <c r="J11" s="276" t="str">
        <f>VLOOKUP(Tableau17[[#This Row],[Colonne1]],Tableau124[#All],9,FALSE)</f>
        <v>secteur3@chs-yonne.fr</v>
      </c>
      <c r="K11" s="308" t="str">
        <f>VLOOKUP(Tableau17[[#This Row],[Colonne1]],Tableau124[#All],10,FALSE)</f>
        <v>03 86 34 86 00 (CMP Avallon) ou 03 86 54 80 70 (CMP Tonnerre)</v>
      </c>
      <c r="L11" s="276" t="str">
        <f>VLOOKUP(Tableau17[[#This Row],[Colonne1]],Tableau124[#All],11,FALSE)</f>
        <v>http://www.chs-yonne.fr/</v>
      </c>
      <c r="M11" s="215" t="str">
        <f>VLOOKUP(Tableau17[[#This Row],[Colonne1]],Tableau124[#All],12,FALSE)</f>
        <v xml:space="preserve"> </v>
      </c>
      <c r="N11" s="322" t="str">
        <f>VLOOKUP(Tableau17[[#This Row],[Colonne1]],Tableau124[#All],13,FALSE)</f>
        <v>- intervention auprès de public majeur ; 
- interventions en urgences  CH Auxerre, Avallon et Tonnerre 
Médecine polyvalente CH Auxerre, Avallon et Tonnerre 
CMP AVALLON et TONNERRE
PASS Psy
Services d'addiction des CH</v>
      </c>
    </row>
    <row r="12" spans="1:15" ht="86.5" customHeight="1">
      <c r="B12" s="139">
        <v>211</v>
      </c>
      <c r="C12" s="104" t="str">
        <f>VLOOKUP(Tableau17[[#This Row],[Colonne1]],Tableau124[#All],2,FALSE)</f>
        <v>Yonne (89)</v>
      </c>
      <c r="D12" s="104" t="str">
        <f>VLOOKUP(Tableau17[[#This Row],[Colonne1]],Tableau124[#All],3,FALSE)</f>
        <v>Auxerre</v>
      </c>
      <c r="E12" s="104" t="str">
        <f>VLOOKUP(Tableau17[[#This Row],[Colonne1]],Tableau124[#All],4,FALSE)</f>
        <v>89000</v>
      </c>
      <c r="F12" s="104" t="str">
        <f>VLOOKUP(Tableau17[[#This Row],[Colonne1]],Tableau124[#All],5,FALSE)</f>
        <v>4 Av. Pierre Scherrer</v>
      </c>
      <c r="G12" s="104" t="str">
        <f>VLOOKUP(Tableau17[[#This Row],[Colonne1]],Tableau124[#All],6,FALSE)</f>
        <v>Consultations Hospitalières externes d'addictologie</v>
      </c>
      <c r="H12" s="104" t="str">
        <f>VLOOKUP(Tableau17[[#This Row],[Colonne1]],Tableau124[#All],7,FALSE)</f>
        <v>CHS Yonne</v>
      </c>
      <c r="I12" s="104" t="str">
        <f>VLOOKUP(Tableau17[[#This Row],[Colonne1]],Tableau124[#All],8,FALSE)</f>
        <v>Public</v>
      </c>
      <c r="J12" s="265" t="str">
        <f>VLOOKUP(Tableau17[[#This Row],[Colonne1]],Tableau124[#All],9,FALSE)</f>
        <v>secteur3@chs-yonne.fr</v>
      </c>
      <c r="K12" s="203" t="str">
        <f>VLOOKUP(Tableau17[[#This Row],[Colonne1]],Tableau124[#All],10,FALSE)</f>
        <v>03 86 94 38 71</v>
      </c>
      <c r="L12" s="265" t="str">
        <f>VLOOKUP(Tableau17[[#This Row],[Colonne1]],Tableau124[#All],11,FALSE)</f>
        <v>http://www.chs-yonne.fr/</v>
      </c>
      <c r="M12" s="122" t="str">
        <f>VLOOKUP(Tableau17[[#This Row],[Colonne1]],Tableau124[#All],12,FALSE)</f>
        <v>du lundi au vendredi de 09:00 à 16:30</v>
      </c>
      <c r="N12" s="122" t="str">
        <f>VLOOKUP(Tableau17[[#This Row],[Colonne1]],Tableau124[#All],13,FALSE)</f>
        <v xml:space="preserve">Intervention auprès de public majeurs </v>
      </c>
    </row>
    <row r="13" spans="1:15" ht="86.5" customHeight="1">
      <c r="B13" s="139">
        <v>218</v>
      </c>
      <c r="C13" s="93" t="str">
        <f>VLOOKUP(Tableau17[[#This Row],[Colonne1]],Tableau124[#All],2,FALSE)</f>
        <v>Yonne (89)</v>
      </c>
      <c r="D13" s="93" t="str">
        <f>VLOOKUP(Tableau17[[#This Row],[Colonne1]],Tableau124[#All],3,FALSE)</f>
        <v>Auxerre</v>
      </c>
      <c r="E13" s="93">
        <f>VLOOKUP(Tableau17[[#This Row],[Colonne1]],Tableau124[#All],4,FALSE)</f>
        <v>89000</v>
      </c>
      <c r="F13" s="93" t="str">
        <f>VLOOKUP(Tableau17[[#This Row],[Colonne1]],Tableau124[#All],5,FALSE)</f>
        <v>4 Av. Pierre Scherrer</v>
      </c>
      <c r="G13" s="93" t="str">
        <f>VLOOKUP(Tableau17[[#This Row],[Colonne1]],Tableau124[#All],6,FALSE)</f>
        <v>Sevrage simple</v>
      </c>
      <c r="H13" s="93" t="str">
        <f>VLOOKUP(Tableau17[[#This Row],[Colonne1]],Tableau124[#All],7,FALSE)</f>
        <v>CHS Yonne</v>
      </c>
      <c r="I13" s="93" t="str">
        <f>VLOOKUP(Tableau17[[#This Row],[Colonne1]],Tableau124[#All],8,FALSE)</f>
        <v>Public</v>
      </c>
      <c r="J13" s="280" t="str">
        <f>VLOOKUP(Tableau17[[#This Row],[Colonne1]],Tableau124[#All],9,FALSE)</f>
        <v>secteur3@chs-yonne.fr</v>
      </c>
      <c r="K13" s="332" t="str">
        <f>VLOOKUP(Tableau17[[#This Row],[Colonne1]],Tableau124[#All],10,FALSE)</f>
        <v>03 86 94 38 10 secrétariat Addictologie</v>
      </c>
      <c r="L13" s="280" t="str">
        <f>VLOOKUP(Tableau17[[#This Row],[Colonne1]],Tableau124[#All],11,FALSE)</f>
        <v>http://www.chs-yonne.fr/</v>
      </c>
      <c r="M13" s="215" t="str">
        <f>VLOOKUP(Tableau17[[#This Row],[Colonne1]],Tableau124[#All],12,FALSE)</f>
        <v xml:space="preserve"> </v>
      </c>
      <c r="N13" s="323" t="str">
        <f>VLOOKUP(Tableau17[[#This Row],[Colonne1]],Tableau124[#All],13,FALSE)</f>
        <v>- interventions auprès d'un public majeur ; 
- lits installés au sein d'une même unité ; 
- unité Michel Thuillier</v>
      </c>
    </row>
    <row r="14" spans="1:15" ht="86.5" customHeight="1">
      <c r="B14" s="139">
        <v>219</v>
      </c>
      <c r="C14" s="118" t="str">
        <f>VLOOKUP(Tableau17[[#This Row],[Colonne1]],Tableau124[#All],2,FALSE)</f>
        <v>Yonne (89)</v>
      </c>
      <c r="D14" s="118" t="str">
        <f>VLOOKUP(Tableau17[[#This Row],[Colonne1]],Tableau124[#All],3,FALSE)</f>
        <v>Auxerre</v>
      </c>
      <c r="E14" s="118">
        <f>VLOOKUP(Tableau17[[#This Row],[Colonne1]],Tableau124[#All],4,FALSE)</f>
        <v>89000</v>
      </c>
      <c r="F14" s="118" t="str">
        <f>VLOOKUP(Tableau17[[#This Row],[Colonne1]],Tableau124[#All],5,FALSE)</f>
        <v>4 Av. Pierre Scherrer</v>
      </c>
      <c r="G14" s="117" t="str">
        <f>VLOOKUP(Tableau17[[#This Row],[Colonne1]],Tableau124[#All],6,FALSE)</f>
        <v>Soins complexes</v>
      </c>
      <c r="H14" s="118" t="str">
        <f>VLOOKUP(Tableau17[[#This Row],[Colonne1]],Tableau124[#All],7,FALSE)</f>
        <v>CHS Yonne</v>
      </c>
      <c r="I14" s="118" t="str">
        <f>VLOOKUP(Tableau17[[#This Row],[Colonne1]],Tableau124[#All],8,FALSE)</f>
        <v>Public</v>
      </c>
      <c r="J14" s="288" t="str">
        <f>VLOOKUP(Tableau17[[#This Row],[Colonne1]],Tableau124[#All],9,FALSE)</f>
        <v>secteur3@chs-yonne.fr</v>
      </c>
      <c r="K14" s="316" t="str">
        <f>VLOOKUP(Tableau17[[#This Row],[Colonne1]],Tableau124[#All],10,FALSE)</f>
        <v>03 86 94 38 10 secrétariat Addictologie</v>
      </c>
      <c r="L14" s="288" t="str">
        <f>VLOOKUP(Tableau17[[#This Row],[Colonne1]],Tableau124[#All],11,FALSE)</f>
        <v>http://www.chs-yonne.fr/</v>
      </c>
      <c r="M14" s="215" t="str">
        <f>VLOOKUP(Tableau17[[#This Row],[Colonne1]],Tableau124[#All],12,FALSE)</f>
        <v xml:space="preserve"> </v>
      </c>
      <c r="N14" s="442" t="str">
        <f>VLOOKUP(Tableau17[[#This Row],[Colonne1]],Tableau124[#All],13,FALSE)</f>
        <v xml:space="preserve">- intervention auprès de public majeur ; 
- accueille également des patients pour des sevrages simples </v>
      </c>
    </row>
    <row r="15" spans="1:15" ht="86.5" customHeight="1">
      <c r="B15" s="139">
        <v>220</v>
      </c>
      <c r="C15" s="182" t="str">
        <f>VLOOKUP(Tableau17[[#This Row],[Colonne1]],Tableau124[#All],2,FALSE)</f>
        <v>Yonne (89)</v>
      </c>
      <c r="D15" s="182" t="str">
        <f>VLOOKUP(Tableau17[[#This Row],[Colonne1]],Tableau124[#All],3,FALSE)</f>
        <v>Auxerre</v>
      </c>
      <c r="E15" s="182">
        <f>VLOOKUP(Tableau17[[#This Row],[Colonne1]],Tableau124[#All],4,FALSE)</f>
        <v>89000</v>
      </c>
      <c r="F15" s="182" t="str">
        <f>VLOOKUP(Tableau17[[#This Row],[Colonne1]],Tableau124[#All],5,FALSE)</f>
        <v>4 Av. Pierre Scherrer</v>
      </c>
      <c r="G15" s="183" t="str">
        <f>VLOOKUP(Tableau17[[#This Row],[Colonne1]],Tableau124[#All],6,FALSE)</f>
        <v>Unité d'hospitalisation de jour</v>
      </c>
      <c r="H15" s="182" t="str">
        <f>VLOOKUP(Tableau17[[#This Row],[Colonne1]],Tableau124[#All],7,FALSE)</f>
        <v>CHS Yonne</v>
      </c>
      <c r="I15" s="182" t="str">
        <f>VLOOKUP(Tableau17[[#This Row],[Colonne1]],Tableau124[#All],8,FALSE)</f>
        <v>Public</v>
      </c>
      <c r="J15" s="294" t="str">
        <f>VLOOKUP(Tableau17[[#This Row],[Colonne1]],Tableau124[#All],9,FALSE)</f>
        <v>secteur3@chs-yonne.fr</v>
      </c>
      <c r="K15" s="441" t="str">
        <f>VLOOKUP(Tableau17[[#This Row],[Colonne1]],Tableau124[#All],10,FALSE)</f>
        <v>03 86 94 38 10 secrétariat Addictologie)</v>
      </c>
      <c r="L15" s="294" t="str">
        <f>VLOOKUP(Tableau17[[#This Row],[Colonne1]],Tableau124[#All],11,FALSE)</f>
        <v>http://www.chs-yonne.fr/</v>
      </c>
      <c r="M15" s="209" t="str">
        <f>VLOOKUP(Tableau17[[#This Row],[Colonne1]],Tableau124[#All],12,FALSE)</f>
        <v>du lundi au vendredi de 09:00 à 16:30</v>
      </c>
      <c r="N15" s="296" t="str">
        <f>VLOOKUP(Tableau17[[#This Row],[Colonne1]],Tableau124[#All],13,FALSE)</f>
        <v>- intervention auprès d'un public majeur</v>
      </c>
    </row>
    <row r="16" spans="1:15" ht="86.5" customHeight="1">
      <c r="B16" s="139">
        <v>213</v>
      </c>
      <c r="C16" s="135" t="str">
        <f>VLOOKUP(Tableau17[[#This Row],[Colonne1]],Tableau124[#All],2,FALSE)</f>
        <v>Yonne (89)</v>
      </c>
      <c r="D16" s="135" t="str">
        <f>VLOOKUP(Tableau17[[#This Row],[Colonne1]],Tableau124[#All],3,FALSE)</f>
        <v>Auxerre</v>
      </c>
      <c r="E16" s="135" t="str">
        <f>VLOOKUP(Tableau17[[#This Row],[Colonne1]],Tableau124[#All],4,FALSE)</f>
        <v>89000</v>
      </c>
      <c r="F16" s="135" t="str">
        <f>VLOOKUP(Tableau17[[#This Row],[Colonne1]],Tableau124[#All],5,FALSE)</f>
        <v>8 Rue Colonel Rozanoff</v>
      </c>
      <c r="G16" s="135" t="str">
        <f>VLOOKUP(Tableau17[[#This Row],[Colonne1]],Tableau124[#All],6,FALSE)</f>
        <v>CSAPA</v>
      </c>
      <c r="H16" s="135" t="str">
        <f>VLOOKUP(Tableau17[[#This Row],[Colonne1]],Tableau124[#All],7,FALSE)</f>
        <v>CSAPA - Association Addictions France</v>
      </c>
      <c r="I16" s="135" t="str">
        <f>VLOOKUP(Tableau17[[#This Row],[Colonne1]],Tableau124[#All],8,FALSE)</f>
        <v>Associatif</v>
      </c>
      <c r="J16" s="269" t="str">
        <f>VLOOKUP(Tableau17[[#This Row],[Colonne1]],Tableau124[#All],9,FALSE)</f>
        <v>bfc89@addictions-france.org</v>
      </c>
      <c r="K16" s="205" t="str">
        <f>VLOOKUP(Tableau17[[#This Row],[Colonne1]],Tableau124[#All],10,FALSE)</f>
        <v>03.86.51.46.99</v>
      </c>
      <c r="L16" s="269" t="str">
        <f>VLOOKUP(Tableau17[[#This Row],[Colonne1]],Tableau124[#All],11,FALSE)</f>
        <v>www.addictions-france.org</v>
      </c>
      <c r="M16" s="100" t="str">
        <f>VLOOKUP(Tableau17[[#This Row],[Colonne1]],Tableau124[#All],12,FALSE)</f>
        <v>Lundi 9h-13h / 13h30-18h
Mardi 8h30-13h / 13h30-19h
Mercredi 8h30-13h / 13h30-18h
Jeudi 9h-13h / 13h30-19h
Vendredi 8h30-13h / 13h30-16h30</v>
      </c>
      <c r="N16" s="556" t="str">
        <f>VLOOKUP(Tableau17[[#This Row],[Colonne1]],Tableau124[#All],13,FALSE)</f>
        <v>Permanences présentes à Migennes, Saint Florentin, Tonnerre, Toucy, Saint Sauveur, Charny, Bléneau et Joigny)
- intervention en milieu pénitentiaire à la maison d'arrêt d'Auxerre et au Centre de détention de Joux-la-Ville ;
- mise à disposition de matériel de consommation à moindre risque ;
- proposition de test rapide d'orientation diagnostic (TROD) ; 
- dispositifs anti-overdose à disposition ; 
- présence d'une CJC.
CJC Avancées qui dépendent du CSAPA d'Auxerre : Lycée Louis Davier (Joigny), EREA Jules Verne (Joigny) Collège marie Noel (Joigny), Collège Jacques Prévert (Migennes), Collège Philippe Cousteau (Brienon), Cité scolaire Pierre Larousse (Toucy), Collège Jean-Roch (Courson les carrières), Collège de Puisaye (St Fargeau), Collège Colette (St Sauveur en Puisaye), MFR Toucy, Collège Michel Gondry (Charny)</v>
      </c>
    </row>
    <row r="17" spans="2:14" ht="86.5" customHeight="1">
      <c r="B17" s="139">
        <v>214</v>
      </c>
      <c r="C17" s="135" t="str">
        <f>VLOOKUP(Tableau17[[#This Row],[Colonne1]],Tableau124[#All],2,FALSE)</f>
        <v>Yonne (89)</v>
      </c>
      <c r="D17" s="135" t="str">
        <f>VLOOKUP(Tableau17[[#This Row],[Colonne1]],Tableau124[#All],3,FALSE)</f>
        <v>Auxerre</v>
      </c>
      <c r="E17" s="135">
        <f>VLOOKUP(Tableau17[[#This Row],[Colonne1]],Tableau124[#All],4,FALSE)</f>
        <v>89000</v>
      </c>
      <c r="F17" s="135" t="str">
        <f>VLOOKUP(Tableau17[[#This Row],[Colonne1]],Tableau124[#All],5,FALSE)</f>
        <v>CHRS 4 rue Thomas Ancel</v>
      </c>
      <c r="G17" s="135" t="str">
        <f>VLOOKUP(Tableau17[[#This Row],[Colonne1]],Tableau124[#All],6,FALSE)</f>
        <v>CSAPA (consultations avancées)</v>
      </c>
      <c r="H17" s="135" t="str">
        <f>VLOOKUP(Tableau17[[#This Row],[Colonne1]],Tableau124[#All],7,FALSE)</f>
        <v>CSAPA - Association Addictions France - consultations avancées</v>
      </c>
      <c r="I17" s="135" t="str">
        <f>VLOOKUP(Tableau17[[#This Row],[Colonne1]],Tableau124[#All],8,FALSE)</f>
        <v>Associatif</v>
      </c>
      <c r="J17" s="270" t="str">
        <f>VLOOKUP(Tableau17[[#This Row],[Colonne1]],Tableau124[#All],9,FALSE)</f>
        <v>bfc89@addictions-france.org</v>
      </c>
      <c r="K17" s="211" t="str">
        <f>VLOOKUP(Tableau17[[#This Row],[Colonne1]],Tableau124[#All],10,FALSE)</f>
        <v>03.86.51.46.99</v>
      </c>
      <c r="L17" s="270" t="str">
        <f>VLOOKUP(Tableau17[[#This Row],[Colonne1]],Tableau124[#All],11,FALSE)</f>
        <v>www.addictions-france.org</v>
      </c>
      <c r="M17" s="186" t="str">
        <f>VLOOKUP(Tableau17[[#This Row],[Colonne1]],Tableau124[#All],12,FALSE)</f>
        <v>jeudi matin 9h-13h</v>
      </c>
      <c r="N17" s="135" t="str">
        <f>VLOOKUP(Tableau17[[#This Row],[Colonne1]],Tableau124[#All],13,FALSE)</f>
        <v>Réalisation de consultations avancées</v>
      </c>
    </row>
    <row r="18" spans="2:14" ht="86.5" customHeight="1">
      <c r="B18" s="139">
        <v>209</v>
      </c>
      <c r="C18" s="180" t="str">
        <f>VLOOKUP(Tableau17[[#This Row],[Colonne1]],Tableau124[#All],2,FALSE)</f>
        <v>Yonne (89)</v>
      </c>
      <c r="D18" s="180" t="str">
        <f>VLOOKUP(Tableau17[[#This Row],[Colonne1]],Tableau124[#All],3,FALSE)</f>
        <v>Auxerre</v>
      </c>
      <c r="E18" s="180" t="str">
        <f>VLOOKUP(Tableau17[[#This Row],[Colonne1]],Tableau124[#All],4,FALSE)</f>
        <v>89000</v>
      </c>
      <c r="F18" s="180" t="str">
        <f>VLOOKUP(Tableau17[[#This Row],[Colonne1]],Tableau124[#All],5,FALSE)</f>
        <v>8 Rue Colonel Rozanoff</v>
      </c>
      <c r="G18" s="180" t="str">
        <f>VLOOKUP(Tableau17[[#This Row],[Colonne1]],Tableau124[#All],6,FALSE)</f>
        <v>CJC</v>
      </c>
      <c r="H18" s="180" t="str">
        <f>VLOOKUP(Tableau17[[#This Row],[Colonne1]],Tableau124[#All],7,FALSE)</f>
        <v>CSAPA - Association Addictions France</v>
      </c>
      <c r="I18" s="180" t="str">
        <f>VLOOKUP(Tableau17[[#This Row],[Colonne1]],Tableau124[#All],8,FALSE)</f>
        <v>Associatif</v>
      </c>
      <c r="J18" s="306" t="str">
        <f>VLOOKUP(Tableau17[[#This Row],[Colonne1]],Tableau124[#All],9,FALSE)</f>
        <v>bfc89@addictions-france.org</v>
      </c>
      <c r="K18" s="207" t="str">
        <f>VLOOKUP(Tableau17[[#This Row],[Colonne1]],Tableau124[#All],10,FALSE)</f>
        <v>03.86.51.46.99</v>
      </c>
      <c r="L18" s="305" t="str">
        <f>VLOOKUP(Tableau17[[#This Row],[Colonne1]],Tableau124[#All],11,FALSE)</f>
        <v>www.addictions-france.org</v>
      </c>
      <c r="M18" s="222" t="str">
        <f>VLOOKUP(Tableau17[[#This Row],[Colonne1]],Tableau124[#All],12,FALSE)</f>
        <v>Auxerre
Mercredi de 11h30 à 17h30
Lundi de 17h à 18h
vendredi de 13h30 à 16h30
Sens
Mercredi de 9h30 à 17h
Vendredi de 13h30 à 17h</v>
      </c>
      <c r="N18" s="325" t="str">
        <f>VLOOKUP(Tableau17[[#This Row],[Colonne1]],Tableau124[#All],13,FALSE)</f>
        <v xml:space="preserve">- Accueil des familles ; 
- Orientation sur rendez-vous ;
- CJC accessible à la famille et l'entourage ; 
- locaux identiques à ceux du CSAPA. </v>
      </c>
    </row>
    <row r="19" spans="2:14" ht="86.5" customHeight="1">
      <c r="B19" s="139">
        <v>223</v>
      </c>
      <c r="C19" s="135" t="str">
        <f>VLOOKUP(Tableau17[[#This Row],[Colonne1]],Tableau124[#All],2,FALSE)</f>
        <v>Yonne (89)</v>
      </c>
      <c r="D19" s="135" t="str">
        <f>VLOOKUP(Tableau17[[#This Row],[Colonne1]],Tableau124[#All],3,FALSE)</f>
        <v>Avallon</v>
      </c>
      <c r="E19" s="135">
        <f>VLOOKUP(Tableau17[[#This Row],[Colonne1]],Tableau124[#All],4,FALSE)</f>
        <v>89200</v>
      </c>
      <c r="F19" s="135" t="str">
        <f>VLOOKUP(Tableau17[[#This Row],[Colonne1]],Tableau124[#All],5,FALSE)</f>
        <v>Centre hospitalier, Centre de périnatalité : 1 rue de l'Hôpital 89200 Avallon</v>
      </c>
      <c r="G19" s="135" t="str">
        <f>VLOOKUP(Tableau17[[#This Row],[Colonne1]],Tableau124[#All],6,FALSE)</f>
        <v>CSAPA (consultations avancées)</v>
      </c>
      <c r="H19" s="135" t="str">
        <f>VLOOKUP(Tableau17[[#This Row],[Colonne1]],Tableau124[#All],7,FALSE)</f>
        <v>Association Addictions France</v>
      </c>
      <c r="I19" s="135" t="str">
        <f>VLOOKUP(Tableau17[[#This Row],[Colonne1]],Tableau124[#All],8,FALSE)</f>
        <v>Associatif</v>
      </c>
      <c r="J19" s="268" t="str">
        <f>VLOOKUP(Tableau17[[#This Row],[Colonne1]],Tableau124[#All],9,FALSE)</f>
        <v>csapa.dijon@addictions-france.org</v>
      </c>
      <c r="K19" s="205" t="str">
        <f>VLOOKUP(Tableau17[[#This Row],[Colonne1]],Tableau124[#All],10,FALSE)</f>
        <v>03 80 73 26 32</v>
      </c>
      <c r="L19" s="268" t="str">
        <f>VLOOKUP(Tableau17[[#This Row],[Colonne1]],Tableau124[#All],11,FALSE)</f>
        <v>www.addictions-france.org</v>
      </c>
      <c r="M19" s="100" t="str">
        <f>VLOOKUP(Tableau17[[#This Row],[Colonne1]],Tableau124[#All],12,FALSE)</f>
        <v>Mardi 9h 17h30 / Vendredi : 9h 17h00 en fonction des RV</v>
      </c>
      <c r="N19" s="216" t="str">
        <f>VLOOKUP(Tableau17[[#This Row],[Colonne1]],Tableau124[#All],13,FALSE)</f>
        <v xml:space="preserve">  </v>
      </c>
    </row>
    <row r="20" spans="2:14" ht="86.5" customHeight="1">
      <c r="B20" s="139">
        <v>222</v>
      </c>
      <c r="C20" s="186" t="str">
        <f>VLOOKUP(Tableau17[[#This Row],[Colonne1]],Tableau124[#All],2,FALSE)</f>
        <v>Yonne (89)</v>
      </c>
      <c r="D20" s="135" t="str">
        <f>VLOOKUP(Tableau17[[#This Row],[Colonne1]],Tableau124[#All],3,FALSE)</f>
        <v>Avallon</v>
      </c>
      <c r="E20" s="135">
        <f>VLOOKUP(Tableau17[[#This Row],[Colonne1]],Tableau124[#All],4,FALSE)</f>
        <v>89200</v>
      </c>
      <c r="F20" s="135" t="str">
        <f>VLOOKUP(Tableau17[[#This Row],[Colonne1]],Tableau124[#All],5,FALSE)</f>
        <v>Centre hospitalier, 1 Rue de l'Hôpital 89200 Avallon</v>
      </c>
      <c r="G20" s="135" t="str">
        <f>VLOOKUP(Tableau17[[#This Row],[Colonne1]],Tableau124[#All],6,FALSE)</f>
        <v>CSAPA (consultations avancées)</v>
      </c>
      <c r="H20" s="135" t="str">
        <f>VLOOKUP(Tableau17[[#This Row],[Colonne1]],Tableau124[#All],7,FALSE)</f>
        <v xml:space="preserve">Association Addictions France </v>
      </c>
      <c r="I20" s="135" t="str">
        <f>VLOOKUP(Tableau17[[#This Row],[Colonne1]],Tableau124[#All],8,FALSE)</f>
        <v>Associatif</v>
      </c>
      <c r="J20" s="269" t="str">
        <f>VLOOKUP(Tableau17[[#This Row],[Colonne1]],Tableau124[#All],9,FALSE)</f>
        <v>csapa.dijon@addictions-france.org</v>
      </c>
      <c r="K20" s="199" t="str">
        <f>VLOOKUP(Tableau17[[#This Row],[Colonne1]],Tableau124[#All],10,FALSE)</f>
        <v>03 80 73 26 32</v>
      </c>
      <c r="L20" s="269" t="str">
        <f>VLOOKUP(Tableau17[[#This Row],[Colonne1]],Tableau124[#All],11,FALSE)</f>
        <v>www.addictions-france.org</v>
      </c>
      <c r="M20" s="100" t="str">
        <f>VLOOKUP(Tableau17[[#This Row],[Colonne1]],Tableau124[#All],12,FALSE)</f>
        <v>Mardi 9h 17h30  / Vendredi : 9h 17h00</v>
      </c>
      <c r="N20" s="216" t="str">
        <f>VLOOKUP(Tableau17[[#This Row],[Colonne1]],Tableau124[#All],13,FALSE)</f>
        <v xml:space="preserve">  </v>
      </c>
    </row>
    <row r="21" spans="2:14" ht="86.5" customHeight="1">
      <c r="B21" s="139">
        <v>261</v>
      </c>
      <c r="C21" s="135" t="str">
        <f>VLOOKUP(Tableau17[[#This Row],[Colonne1]],Tableau124[#All],2,FALSE)</f>
        <v>Yonne (89)</v>
      </c>
      <c r="D21" s="135" t="str">
        <f>VLOOKUP(Tableau17[[#This Row],[Colonne1]],Tableau124[#All],3,FALSE)</f>
        <v>Avallon</v>
      </c>
      <c r="E21" s="135">
        <f>VLOOKUP(Tableau17[[#This Row],[Colonne1]],Tableau124[#All],4,FALSE)</f>
        <v>89200</v>
      </c>
      <c r="F21" s="135" t="str">
        <f>VLOOKUP(Tableau17[[#This Row],[Colonne1]],Tableau124[#All],5,FALSE)</f>
        <v xml:space="preserve">Centre hospitalier 1 rue de l'Hôpital 89200 Avallon </v>
      </c>
      <c r="G21" s="135" t="str">
        <f>VLOOKUP(Tableau17[[#This Row],[Colonne1]],Tableau124[#All],6,FALSE)</f>
        <v>Antenne CSAPA</v>
      </c>
      <c r="H21" s="135" t="str">
        <f>VLOOKUP(Tableau17[[#This Row],[Colonne1]],Tableau124[#All],7,FALSE)</f>
        <v>Association Addictions France</v>
      </c>
      <c r="I21" s="135" t="str">
        <f>VLOOKUP(Tableau17[[#This Row],[Colonne1]],Tableau124[#All],8,FALSE)</f>
        <v>Associatif</v>
      </c>
      <c r="J21" s="135" t="str">
        <f>VLOOKUP(Tableau17[[#This Row],[Colonne1]],Tableau124[#All],9,FALSE)</f>
        <v>csapa.dijon@addictions-france.org</v>
      </c>
      <c r="K21" s="135" t="str">
        <f>VLOOKUP(Tableau17[[#This Row],[Colonne1]],Tableau124[#All],10,FALSE)</f>
        <v>03 80 73 26 32</v>
      </c>
      <c r="L21" s="186" t="str">
        <f>VLOOKUP(Tableau17[[#This Row],[Colonne1]],Tableau124[#All],11,FALSE)</f>
        <v>www.addictions-france.org</v>
      </c>
      <c r="M21" s="186" t="str">
        <f>VLOOKUP(Tableau17[[#This Row],[Colonne1]],Tableau124[#All],12,FALSE)</f>
        <v>mardi : 9h-17h30 : Vendredi : 9h-17h</v>
      </c>
      <c r="N21" s="324"/>
    </row>
    <row r="22" spans="2:14" ht="86.5" customHeight="1">
      <c r="B22" s="139">
        <v>262</v>
      </c>
      <c r="C22" s="186" t="str">
        <f>VLOOKUP(Tableau17[[#This Row],[Colonne1]],Tableau124[#All],2,FALSE)</f>
        <v>Yonne (89)</v>
      </c>
      <c r="D22" s="135" t="str">
        <f>VLOOKUP(Tableau17[[#This Row],[Colonne1]],Tableau124[#All],3,FALSE)</f>
        <v>Avallon</v>
      </c>
      <c r="E22" s="135">
        <f>VLOOKUP(Tableau17[[#This Row],[Colonne1]],Tableau124[#All],4,FALSE)</f>
        <v>89200</v>
      </c>
      <c r="F22" s="135" t="str">
        <f>VLOOKUP(Tableau17[[#This Row],[Colonne1]],Tableau124[#All],5,FALSE)</f>
        <v>Centre de périnatalité 1 rue de l'Hôpital 89200 Avallon</v>
      </c>
      <c r="G22" s="135" t="str">
        <f>VLOOKUP(Tableau17[[#This Row],[Colonne1]],Tableau124[#All],6,FALSE)</f>
        <v>CSAPA (consultations avancées)</v>
      </c>
      <c r="H22" s="135" t="str">
        <f>VLOOKUP(Tableau17[[#This Row],[Colonne1]],Tableau124[#All],7,FALSE)</f>
        <v>Association Addictions France</v>
      </c>
      <c r="I22" s="135" t="str">
        <f>VLOOKUP(Tableau17[[#This Row],[Colonne1]],Tableau124[#All],8,FALSE)</f>
        <v>Associatif</v>
      </c>
      <c r="J22" s="135" t="str">
        <f>VLOOKUP(Tableau17[[#This Row],[Colonne1]],Tableau124[#All],9,FALSE)</f>
        <v>csapa.dijon@addictions-france.org</v>
      </c>
      <c r="K22" s="135" t="str">
        <f>VLOOKUP(Tableau17[[#This Row],[Colonne1]],Tableau124[#All],10,FALSE)</f>
        <v>03 80 73 26 32</v>
      </c>
      <c r="L22" s="186" t="str">
        <f>VLOOKUP(Tableau17[[#This Row],[Colonne1]],Tableau124[#All],11,FALSE)</f>
        <v>www.addictions-france.org</v>
      </c>
      <c r="M22" s="135" t="str">
        <f>VLOOKUP(Tableau17[[#This Row],[Colonne1]],Tableau124[#All],12,FALSE)</f>
        <v>mardi : 9h-17h30 / Vendredi : 9h-17h en fonction des RV</v>
      </c>
      <c r="N22" s="324"/>
    </row>
    <row r="23" spans="2:14" ht="86.5" customHeight="1">
      <c r="B23" s="139">
        <v>263</v>
      </c>
      <c r="C23" s="186" t="str">
        <f>VLOOKUP(Tableau17[[#This Row],[Colonne1]],Tableau124[#All],2,FALSE)</f>
        <v>Yonne (89)</v>
      </c>
      <c r="D23" s="135" t="str">
        <f>VLOOKUP(Tableau17[[#This Row],[Colonne1]],Tableau124[#All],3,FALSE)</f>
        <v>Avallon</v>
      </c>
      <c r="E23" s="135">
        <f>VLOOKUP(Tableau17[[#This Row],[Colonne1]],Tableau124[#All],4,FALSE)</f>
        <v>89200</v>
      </c>
      <c r="F23" s="135" t="str">
        <f>VLOOKUP(Tableau17[[#This Row],[Colonne1]],Tableau124[#All],5,FALSE)</f>
        <v xml:space="preserve"> Résidence Sociale Coallia 10 avenue Victor Hugo 89200 Avallon</v>
      </c>
      <c r="G23" s="135" t="str">
        <f>VLOOKUP(Tableau17[[#This Row],[Colonne1]],Tableau124[#All],6,FALSE)</f>
        <v>CSAPA (consultations avancées)</v>
      </c>
      <c r="H23" s="135" t="str">
        <f>VLOOKUP(Tableau17[[#This Row],[Colonne1]],Tableau124[#All],7,FALSE)</f>
        <v>Association Addictions France</v>
      </c>
      <c r="I23" s="135" t="str">
        <f>VLOOKUP(Tableau17[[#This Row],[Colonne1]],Tableau124[#All],8,FALSE)</f>
        <v>Associatif</v>
      </c>
      <c r="J23" s="135" t="str">
        <f>VLOOKUP(Tableau17[[#This Row],[Colonne1]],Tableau124[#All],9,FALSE)</f>
        <v>csapa.dijon@addictions-france.org</v>
      </c>
      <c r="K23" s="135" t="str">
        <f>VLOOKUP(Tableau17[[#This Row],[Colonne1]],Tableau124[#All],10,FALSE)</f>
        <v>03 80 73 26 32</v>
      </c>
      <c r="L23" s="186" t="str">
        <f>VLOOKUP(Tableau17[[#This Row],[Colonne1]],Tableau124[#All],11,FALSE)</f>
        <v>www.addictions-france.org</v>
      </c>
      <c r="M23" s="135" t="str">
        <f>VLOOKUP(Tableau17[[#This Row],[Colonne1]],Tableau124[#All],12,FALSE)</f>
        <v>1/2 journée / mois de 9h à 12h30</v>
      </c>
      <c r="N23" s="324"/>
    </row>
    <row r="24" spans="2:14" ht="86.5" customHeight="1">
      <c r="B24" s="139">
        <v>264</v>
      </c>
      <c r="C24" s="135" t="str">
        <f>VLOOKUP(Tableau17[[#This Row],[Colonne1]],Tableau124[#All],2,FALSE)</f>
        <v>Yonne (89)</v>
      </c>
      <c r="D24" s="135" t="str">
        <f>VLOOKUP(Tableau17[[#This Row],[Colonne1]],Tableau124[#All],3,FALSE)</f>
        <v>Avallon</v>
      </c>
      <c r="E24" s="135">
        <f>VLOOKUP(Tableau17[[#This Row],[Colonne1]],Tableau124[#All],4,FALSE)</f>
        <v>89200</v>
      </c>
      <c r="F24" s="135" t="str">
        <f>VLOOKUP(Tableau17[[#This Row],[Colonne1]],Tableau124[#All],5,FALSE)</f>
        <v>Pension de famille Coallia 10 avenue Victor Hugo 89200 Avallon</v>
      </c>
      <c r="G24" s="135" t="str">
        <f>VLOOKUP(Tableau17[[#This Row],[Colonne1]],Tableau124[#All],6,FALSE)</f>
        <v>CSAPA (consultations avancées)</v>
      </c>
      <c r="H24" s="135" t="str">
        <f>VLOOKUP(Tableau17[[#This Row],[Colonne1]],Tableau124[#All],7,FALSE)</f>
        <v>Association Addictions France</v>
      </c>
      <c r="I24" s="135" t="str">
        <f>VLOOKUP(Tableau17[[#This Row],[Colonne1]],Tableau124[#All],8,FALSE)</f>
        <v>Associatif</v>
      </c>
      <c r="J24" s="135" t="str">
        <f>VLOOKUP(Tableau17[[#This Row],[Colonne1]],Tableau124[#All],9,FALSE)</f>
        <v>csapa.dijon@addictions-france.org</v>
      </c>
      <c r="K24" s="135" t="str">
        <f>VLOOKUP(Tableau17[[#This Row],[Colonne1]],Tableau124[#All],10,FALSE)</f>
        <v>03 80 73 26 32</v>
      </c>
      <c r="L24" s="186" t="str">
        <f>VLOOKUP(Tableau17[[#This Row],[Colonne1]],Tableau124[#All],11,FALSE)</f>
        <v>www.addictions-france.org</v>
      </c>
      <c r="M24" s="135" t="str">
        <f>VLOOKUP(Tableau17[[#This Row],[Colonne1]],Tableau124[#All],12,FALSE)</f>
        <v>1 mercredi après-midi par mois rue du Stade 89200 Avallon : 13h30-17h30, 1 vendredi matin par mois 10 avenue Victor Hugo 89200 Avallon ; 9h - 12h30</v>
      </c>
      <c r="N24" s="324"/>
    </row>
    <row r="25" spans="2:14" ht="86.5" customHeight="1">
      <c r="B25" s="139">
        <v>247</v>
      </c>
      <c r="C25" s="181" t="str">
        <f>VLOOKUP(Tableau17[[#This Row],[Colonne1]],Tableau124[#All],2,FALSE)</f>
        <v>Yonne (89)</v>
      </c>
      <c r="D25" s="104" t="str">
        <f>VLOOKUP(Tableau17[[#This Row],[Colonne1]],Tableau124[#All],3,FALSE)</f>
        <v>Champigny sur Yonne</v>
      </c>
      <c r="E25" s="104">
        <f>VLOOKUP(Tableau17[[#This Row],[Colonne1]],Tableau124[#All],4,FALSE)</f>
        <v>89340</v>
      </c>
      <c r="F25" s="104" t="str">
        <f>VLOOKUP(Tableau17[[#This Row],[Colonne1]],Tableau124[#All],5,FALSE)</f>
        <v>Route départementale 70</v>
      </c>
      <c r="G25" s="104" t="str">
        <f>VLOOKUP(Tableau17[[#This Row],[Colonne1]],Tableau124[#All],6,FALSE)</f>
        <v>Consultations Hospitalières externes d'addictologie</v>
      </c>
      <c r="H25" s="104" t="str">
        <f>VLOOKUP(Tableau17[[#This Row],[Colonne1]],Tableau124[#All],7,FALSE)</f>
        <v>Clinique Ker Yonnec</v>
      </c>
      <c r="I25" s="104" t="str">
        <f>VLOOKUP(Tableau17[[#This Row],[Colonne1]],Tableau124[#All],8,FALSE)</f>
        <v>Privé à but lucratif</v>
      </c>
      <c r="J25" s="445" t="str">
        <f>VLOOKUP(Tableau17[[#This Row],[Colonne1]],Tableau124[#All],9,FALSE)</f>
        <v xml:space="preserve"> accueil@keryonnec.com</v>
      </c>
      <c r="K25" s="337" t="str">
        <f>VLOOKUP(Tableau17[[#This Row],[Colonne1]],Tableau124[#All],10,FALSE)</f>
        <v xml:space="preserve">03 86 66 66 66 </v>
      </c>
      <c r="L25" s="358" t="str">
        <f>VLOOKUP(Tableau17[[#This Row],[Colonne1]],Tableau124[#All],11,FALSE)</f>
        <v>https://keryonnec.com/</v>
      </c>
      <c r="M25" s="216"/>
      <c r="N25" s="328"/>
    </row>
    <row r="26" spans="2:14" ht="86.5" customHeight="1">
      <c r="B26" s="139">
        <v>246</v>
      </c>
      <c r="C26" s="224" t="str">
        <f>VLOOKUP(Tableau17[[#This Row],[Colonne1]],Tableau124[#All],2,FALSE)</f>
        <v>Yonne (89)</v>
      </c>
      <c r="D26" s="444" t="str">
        <f>VLOOKUP(Tableau17[[#This Row],[Colonne1]],Tableau124[#All],3,FALSE)</f>
        <v>Champigny sur Yonne</v>
      </c>
      <c r="E26" s="444">
        <f>VLOOKUP(Tableau17[[#This Row],[Colonne1]],Tableau124[#All],4,FALSE)</f>
        <v>89340</v>
      </c>
      <c r="F26" s="444" t="str">
        <f>VLOOKUP(Tableau17[[#This Row],[Colonne1]],Tableau124[#All],5,FALSE)</f>
        <v>Route départementale 70</v>
      </c>
      <c r="G26" s="444" t="str">
        <f>VLOOKUP(Tableau17[[#This Row],[Colonne1]],Tableau124[#All],6,FALSE)</f>
        <v>Sevrage simple</v>
      </c>
      <c r="H26" s="444" t="str">
        <f>VLOOKUP(Tableau17[[#This Row],[Colonne1]],Tableau124[#All],7,FALSE)</f>
        <v>Clinique Ker Yonnec</v>
      </c>
      <c r="I26" s="444" t="str">
        <f>VLOOKUP(Tableau17[[#This Row],[Colonne1]],Tableau124[#All],8,FALSE)</f>
        <v>Privé à but lucratif</v>
      </c>
      <c r="J26" s="446" t="str">
        <f>VLOOKUP(Tableau17[[#This Row],[Colonne1]],Tableau124[#All],9,FALSE)</f>
        <v xml:space="preserve"> accueil@keryonnec.com</v>
      </c>
      <c r="K26" s="447" t="str">
        <f>VLOOKUP(Tableau17[[#This Row],[Colonne1]],Tableau124[#All],10,FALSE)</f>
        <v>03 86 66 66 66</v>
      </c>
      <c r="L26" s="359" t="str">
        <f>VLOOKUP(Tableau17[[#This Row],[Colonne1]],Tableau124[#All],11,FALSE)</f>
        <v>https://keryonnec.com/</v>
      </c>
      <c r="M26" s="216"/>
      <c r="N26" s="450" t="str">
        <f>VLOOKUP(Tableau17[[#This Row],[Colonne1]],Tableau124[#All],13,FALSE)</f>
        <v>Prise en charge de personnes majeures 
Les lits d'hospitalisation pour sevrage simple sont difféminés dans différentes unités hospitalières
Séjour en hospitalisation complète
 Suivi individuel : RPIB et entretien motivationnel
Suivi groupal: éducation thérapeutique et psychoéducation 
 Accompagnement médical, infirmier, psychologue et diététique vers le sevrage tabagique.</v>
      </c>
    </row>
    <row r="27" spans="2:14" ht="86.5" customHeight="1">
      <c r="B27" s="139">
        <v>227</v>
      </c>
      <c r="C27" s="119" t="str">
        <f>VLOOKUP(Tableau17[[#This Row],[Colonne1]],Tableau124[#All],2,FALSE)</f>
        <v>Yonne (89)</v>
      </c>
      <c r="D27" s="119" t="str">
        <f>VLOOKUP(Tableau17[[#This Row],[Colonne1]],Tableau124[#All],3,FALSE)</f>
        <v>Joigny</v>
      </c>
      <c r="E27" s="119" t="str">
        <f>VLOOKUP(Tableau17[[#This Row],[Colonne1]],Tableau124[#All],4,FALSE)</f>
        <v>89300</v>
      </c>
      <c r="F27" s="121" t="str">
        <f>VLOOKUP(Tableau17[[#This Row],[Colonne1]],Tableau124[#All],5,FALSE)</f>
        <v>CH JOIGNY 3 quai de l'hôpital, Dans plusieurs services</v>
      </c>
      <c r="G27" s="121" t="str">
        <f>VLOOKUP(Tableau17[[#This Row],[Colonne1]],Tableau124[#All],6,FALSE)</f>
        <v>ELSA</v>
      </c>
      <c r="H27" s="119" t="str">
        <f>VLOOKUP(Tableau17[[#This Row],[Colonne1]],Tableau124[#All],7,FALSE)</f>
        <v>CENTRE HOSPITALIER DE JOIGNY POLE HOPITAL</v>
      </c>
      <c r="I27" s="119" t="str">
        <f>VLOOKUP(Tableau17[[#This Row],[Colonne1]],Tableau124[#All],8,FALSE)</f>
        <v>Public</v>
      </c>
      <c r="J27" s="276" t="str">
        <f>VLOOKUP(Tableau17[[#This Row],[Colonne1]],Tableau124[#All],9,FALSE)</f>
        <v>addictologie@ch-joigny.fr</v>
      </c>
      <c r="K27" s="308" t="str">
        <f>VLOOKUP(Tableau17[[#This Row],[Colonne1]],Tableau124[#All],10,FALSE)</f>
        <v>03.86.92.33.77 celui des Consultations Externes</v>
      </c>
      <c r="L27" s="274" t="str">
        <f>VLOOKUP(Tableau17[[#This Row],[Colonne1]],Tableau124[#All],11,FALSE)</f>
        <v xml:space="preserve"> </v>
      </c>
      <c r="M27" s="215" t="str">
        <f>VLOOKUP(Tableau17[[#This Row],[Colonne1]],Tableau124[#All],12,FALSE)</f>
        <v xml:space="preserve"> </v>
      </c>
      <c r="N27" s="322" t="str">
        <f>VLOOKUP(Tableau17[[#This Row],[Colonne1]],Tableau124[#All],13,FALSE)</f>
        <v>- intervention auprès de public majeur ; 
- intervention en service de médecine, service des urgences, ssr cardio-respiratoire, had, emsp, HDJ en pôle h
ussr généraliste, l séjour, moyen séjour en pôle G</v>
      </c>
    </row>
    <row r="28" spans="2:14" ht="86.5" customHeight="1">
      <c r="B28" s="139">
        <v>226</v>
      </c>
      <c r="C28" s="181" t="str">
        <f>VLOOKUP(Tableau17[[#This Row],[Colonne1]],Tableau124[#All],2,FALSE)</f>
        <v>Yonne (89)</v>
      </c>
      <c r="D28" s="104" t="str">
        <f>VLOOKUP(Tableau17[[#This Row],[Colonne1]],Tableau124[#All],3,FALSE)</f>
        <v>Joigny</v>
      </c>
      <c r="E28" s="104" t="str">
        <f>VLOOKUP(Tableau17[[#This Row],[Colonne1]],Tableau124[#All],4,FALSE)</f>
        <v>89300</v>
      </c>
      <c r="F28" s="104" t="str">
        <f>VLOOKUP(Tableau17[[#This Row],[Colonne1]],Tableau124[#All],5,FALSE)</f>
        <v>CH JOIGNY 3  quai de l'hôpital</v>
      </c>
      <c r="G28" s="104" t="str">
        <f>VLOOKUP(Tableau17[[#This Row],[Colonne1]],Tableau124[#All],6,FALSE)</f>
        <v>Consultations Hospitalières externes d'addictologie</v>
      </c>
      <c r="H28" s="104" t="str">
        <f>VLOOKUP(Tableau17[[#This Row],[Colonne1]],Tableau124[#All],7,FALSE)</f>
        <v xml:space="preserve">Centre Hospitalier de Joigny pôle H </v>
      </c>
      <c r="I28" s="104" t="str">
        <f>VLOOKUP(Tableau17[[#This Row],[Colonne1]],Tableau124[#All],8,FALSE)</f>
        <v>Public</v>
      </c>
      <c r="J28" s="264" t="str">
        <f>VLOOKUP(Tableau17[[#This Row],[Colonne1]],Tableau124[#All],9,FALSE)</f>
        <v>addictologie@ch-joigny.fr</v>
      </c>
      <c r="K28" s="200" t="str">
        <f>VLOOKUP(Tableau17[[#This Row],[Colonne1]],Tableau124[#All],10,FALSE)</f>
        <v>03.86.92.33.77</v>
      </c>
      <c r="L28" s="274" t="str">
        <f>VLOOKUP(Tableau17[[#This Row],[Colonne1]],Tableau124[#All],11,FALSE)</f>
        <v xml:space="preserve"> </v>
      </c>
      <c r="M28" s="122" t="str">
        <f>VLOOKUP(Tableau17[[#This Row],[Colonne1]],Tableau124[#All],12,FALSE)</f>
        <v>5 jours sur 7 de 8h à 16h (heure de fermeture du secrétariat d'accueil, 
Rendez-vous les week-end exceptionnellement si nécessité (routiers, travaille en 2/8)</v>
      </c>
      <c r="N28" s="321" t="str">
        <f>VLOOKUP(Tableau17[[#This Row],[Colonne1]],Tableau124[#All],13,FALSE)</f>
        <v>Intervention auprès de public majeurs et mineurs</v>
      </c>
    </row>
    <row r="29" spans="2:14" ht="86.5" customHeight="1">
      <c r="B29" s="139">
        <v>228</v>
      </c>
      <c r="C29" s="93" t="str">
        <f>VLOOKUP(Tableau17[[#This Row],[Colonne1]],Tableau124[#All],2,FALSE)</f>
        <v>Yonne (89)</v>
      </c>
      <c r="D29" s="93" t="str">
        <f>VLOOKUP(Tableau17[[#This Row],[Colonne1]],Tableau124[#All],3,FALSE)</f>
        <v>Joigny</v>
      </c>
      <c r="E29" s="93" t="str">
        <f>VLOOKUP(Tableau17[[#This Row],[Colonne1]],Tableau124[#All],4,FALSE)</f>
        <v>89300</v>
      </c>
      <c r="F29" s="93" t="str">
        <f>VLOOKUP(Tableau17[[#This Row],[Colonne1]],Tableau124[#All],5,FALSE)</f>
        <v>CH JOIGNY 3 quai de l'hôpital</v>
      </c>
      <c r="G29" s="93" t="str">
        <f>VLOOKUP(Tableau17[[#This Row],[Colonne1]],Tableau124[#All],6,FALSE)</f>
        <v>Sevrage simple</v>
      </c>
      <c r="H29" s="93" t="str">
        <f>VLOOKUP(Tableau17[[#This Row],[Colonne1]],Tableau124[#All],7,FALSE)</f>
        <v>CENTRE HOSPITALIER DE JOIGNY POLE HOPITAL</v>
      </c>
      <c r="I29" s="93" t="str">
        <f>VLOOKUP(Tableau17[[#This Row],[Colonne1]],Tableau124[#All],8,FALSE)</f>
        <v>Public</v>
      </c>
      <c r="J29" s="280" t="str">
        <f>VLOOKUP(Tableau17[[#This Row],[Colonne1]],Tableau124[#All],9,FALSE)</f>
        <v>addictologie@ch-joigny.fr</v>
      </c>
      <c r="K29" s="309" t="str">
        <f>VLOOKUP(Tableau17[[#This Row],[Colonne1]],Tableau124[#All],10,FALSE)</f>
        <v>03 86 92 33 33</v>
      </c>
      <c r="L29" s="273" t="str">
        <f>VLOOKUP(Tableau17[[#This Row],[Colonne1]],Tableau124[#All],11,FALSE)</f>
        <v xml:space="preserve"> </v>
      </c>
      <c r="M29" s="216" t="str">
        <f>VLOOKUP(Tableau17[[#This Row],[Colonne1]],Tableau124[#All],12,FALSE)</f>
        <v xml:space="preserve"> </v>
      </c>
      <c r="N29" s="244" t="str">
        <f>VLOOKUP(Tableau17[[#This Row],[Colonne1]],Tableau124[#All],13,FALSE)</f>
        <v xml:space="preserve">- intervention auprès de public majeur et mineur ; 
- lits disséminés dans différentes unités hospitalières ;
- 2 unités USC, 1 lit délocalisé de médecine B, 1 lit de médecine B. </v>
      </c>
    </row>
    <row r="30" spans="2:14" ht="86.5" customHeight="1">
      <c r="B30" s="139">
        <v>232</v>
      </c>
      <c r="C30" s="120" t="str">
        <f>VLOOKUP(Tableau17[[#This Row],[Colonne1]],Tableau124[#All],2,FALSE)</f>
        <v>Yonne (89)</v>
      </c>
      <c r="D30" s="120" t="str">
        <f>VLOOKUP(Tableau17[[#This Row],[Colonne1]],Tableau124[#All],3,FALSE)</f>
        <v>Migennes</v>
      </c>
      <c r="E30" s="120" t="str">
        <f>VLOOKUP(Tableau17[[#This Row],[Colonne1]],Tableau124[#All],4,FALSE)</f>
        <v>89400</v>
      </c>
      <c r="F30" s="120" t="str">
        <f>VLOOKUP(Tableau17[[#This Row],[Colonne1]],Tableau124[#All],5,FALSE)</f>
        <v>AIHP-Centre Armançon
18 bis Rue Pierre SEMARD</v>
      </c>
      <c r="G30" s="95" t="str">
        <f>VLOOKUP(Tableau17[[#This Row],[Colonne1]],Tableau124[#All],6,FALSE)</f>
        <v>SMRA</v>
      </c>
      <c r="H30" s="120" t="str">
        <f>VLOOKUP(Tableau17[[#This Row],[Colonne1]],Tableau124[#All],7,FALSE)</f>
        <v>Association Icaunaise d'Hygiène Populaire</v>
      </c>
      <c r="I30" s="120" t="str">
        <f>VLOOKUP(Tableau17[[#This Row],[Colonne1]],Tableau124[#All],8,FALSE)</f>
        <v>Associatif</v>
      </c>
      <c r="J30" s="284" t="str">
        <f>VLOOKUP(Tableau17[[#This Row],[Colonne1]],Tableau124[#All],9,FALSE)</f>
        <v>accueil@centre-armancon.fr</v>
      </c>
      <c r="K30" s="311" t="str">
        <f>VLOOKUP(Tableau17[[#This Row],[Colonne1]],Tableau124[#All],10,FALSE)</f>
        <v>03 86 80 24 55</v>
      </c>
      <c r="L30" s="285" t="str">
        <f>VLOOKUP(Tableau17[[#This Row],[Colonne1]],Tableau124[#All],11,FALSE)</f>
        <v>www.centre-armancon.fr</v>
      </c>
      <c r="M30" s="216" t="str">
        <f>VLOOKUP(Tableau17[[#This Row],[Colonne1]],Tableau124[#All],12,FALSE)</f>
        <v xml:space="preserve"> </v>
      </c>
      <c r="N30" s="553" t="str">
        <f>VLOOKUP(Tableau17[[#This Row],[Colonne1]],Tableau124[#All],13,FALSE)</f>
        <v>- intervention auprès d'un public majeur ; 
- spécialisé en alcoolodépendance</v>
      </c>
    </row>
    <row r="31" spans="2:14" ht="86.5" customHeight="1">
      <c r="B31" s="139">
        <v>229</v>
      </c>
      <c r="C31" s="181" t="str">
        <f>VLOOKUP(Tableau17[[#This Row],[Colonne1]],Tableau124[#All],2,FALSE)</f>
        <v>Yonne (89)</v>
      </c>
      <c r="D31" s="181" t="str">
        <f>VLOOKUP(Tableau17[[#This Row],[Colonne1]],Tableau124[#All],3,FALSE)</f>
        <v>Migennes</v>
      </c>
      <c r="E31" s="181">
        <f>VLOOKUP(Tableau17[[#This Row],[Colonne1]],Tableau124[#All],4,FALSE)</f>
        <v>89400</v>
      </c>
      <c r="F31" s="181" t="str">
        <f>VLOOKUP(Tableau17[[#This Row],[Colonne1]],Tableau124[#All],5,FALSE)</f>
        <v>CH JOIGNY 3 Quai de l'Hôpital</v>
      </c>
      <c r="G31" s="104" t="str">
        <f>VLOOKUP(Tableau17[[#This Row],[Colonne1]],Tableau124[#All],6,FALSE)</f>
        <v>Consultations Hospitalières externes d'addictologie (autre lieu d'intervention)</v>
      </c>
      <c r="H31" s="104" t="str">
        <f>VLOOKUP(Tableau17[[#This Row],[Colonne1]],Tableau124[#All],7,FALSE)</f>
        <v xml:space="preserve">Centre Hospitalier de Joigny pôle H </v>
      </c>
      <c r="I31" s="104" t="str">
        <f>VLOOKUP(Tableau17[[#This Row],[Colonne1]],Tableau124[#All],8,FALSE)</f>
        <v>Public</v>
      </c>
      <c r="J31" s="265" t="str">
        <f>VLOOKUP(Tableau17[[#This Row],[Colonne1]],Tableau124[#All],9,FALSE)</f>
        <v>addictologie@ch-joigny.fr</v>
      </c>
      <c r="K31" s="203" t="str">
        <f>VLOOKUP(Tableau17[[#This Row],[Colonne1]],Tableau124[#All],10,FALSE)</f>
        <v>03.86.92.33.77</v>
      </c>
      <c r="L31" s="274" t="str">
        <f>VLOOKUP(Tableau17[[#This Row],[Colonne1]],Tableau124[#All],11,FALSE)</f>
        <v xml:space="preserve"> </v>
      </c>
      <c r="M31" s="206" t="str">
        <f>VLOOKUP(Tableau17[[#This Row],[Colonne1]],Tableau124[#All],12,FALSE)</f>
        <v>ELSA Variable</v>
      </c>
      <c r="N31" s="321" t="str">
        <f>VLOOKUP(Tableau17[[#This Row],[Colonne1]],Tableau124[#All],13,FALSE)</f>
        <v>Intervention auprès de public majeurs et mineurs ainsi qu'au CH de Joigny, pôle hôpital</v>
      </c>
    </row>
    <row r="32" spans="2:14" ht="86.5" customHeight="1">
      <c r="B32" s="139">
        <v>230</v>
      </c>
      <c r="C32" s="186" t="str">
        <f>VLOOKUP(Tableau17[[#This Row],[Colonne1]],Tableau124[#All],2,FALSE)</f>
        <v>Yonne (89)</v>
      </c>
      <c r="D32" s="100" t="str">
        <f>VLOOKUP(Tableau17[[#This Row],[Colonne1]],Tableau124[#All],3,FALSE)</f>
        <v>Migennes</v>
      </c>
      <c r="E32" s="100">
        <f>VLOOKUP(Tableau17[[#This Row],[Colonne1]],Tableau124[#All],4,FALSE)</f>
        <v>89400</v>
      </c>
      <c r="F32" s="100" t="str">
        <f>VLOOKUP(Tableau17[[#This Row],[Colonne1]],Tableau124[#All],5,FALSE)</f>
        <v>CHRS Migennes - 29 Av. des Cosmonautes</v>
      </c>
      <c r="G32" s="100" t="str">
        <f>VLOOKUP(Tableau17[[#This Row],[Colonne1]],Tableau124[#All],6,FALSE)</f>
        <v>CSAPA</v>
      </c>
      <c r="H32" s="100" t="str">
        <f>VLOOKUP(Tableau17[[#This Row],[Colonne1]],Tableau124[#All],7,FALSE)</f>
        <v>CSAPA</v>
      </c>
      <c r="I32" s="100" t="str">
        <f>VLOOKUP(Tableau17[[#This Row],[Colonne1]],Tableau124[#All],8,FALSE)</f>
        <v>Public</v>
      </c>
      <c r="J32" s="215" t="str">
        <f>VLOOKUP(Tableau17[[#This Row],[Colonne1]],Tableau124[#All],9,FALSE)</f>
        <v xml:space="preserve"> </v>
      </c>
      <c r="K32" s="205" t="str">
        <f>VLOOKUP(Tableau17[[#This Row],[Colonne1]],Tableau124[#All],10,FALSE)</f>
        <v>03 86 51 46 99</v>
      </c>
      <c r="L32" s="215"/>
      <c r="M32" s="100" t="str">
        <f>VLOOKUP(Tableau17[[#This Row],[Colonne1]],Tableau124[#All],12,FALSE)</f>
        <v xml:space="preserve"> lundi matin 9h30-12h30</v>
      </c>
      <c r="N32" s="451" t="str">
        <f>VLOOKUP(Tableau17[[#This Row],[Colonne1]],Tableau124[#All],13,FALSE)</f>
        <v xml:space="preserve">  </v>
      </c>
    </row>
    <row r="33" spans="2:14" ht="86.5" customHeight="1">
      <c r="B33" s="139">
        <v>238</v>
      </c>
      <c r="C33" s="178" t="str">
        <f>VLOOKUP(Tableau17[[#This Row],[Colonne1]],Tableau124[#All],2,FALSE)</f>
        <v>Yonne (89)</v>
      </c>
      <c r="D33" s="178" t="str">
        <f>VLOOKUP(Tableau17[[#This Row],[Colonne1]],Tableau124[#All],3,FALSE)</f>
        <v>Sens</v>
      </c>
      <c r="E33" s="178" t="str">
        <f>VLOOKUP(Tableau17[[#This Row],[Colonne1]],Tableau124[#All],4,FALSE)</f>
        <v>89100</v>
      </c>
      <c r="F33" s="178" t="str">
        <f>VLOOKUP(Tableau17[[#This Row],[Colonne1]],Tableau124[#All],5,FALSE)</f>
        <v>Centre Hospitalier de Sens, 1 avenue Pierre de Coubertin, Dans plusieurs services</v>
      </c>
      <c r="G33" s="179" t="str">
        <f>VLOOKUP(Tableau17[[#This Row],[Colonne1]],Tableau124[#All],6,FALSE)</f>
        <v>ELSA</v>
      </c>
      <c r="H33" s="178" t="str">
        <f>VLOOKUP(Tableau17[[#This Row],[Colonne1]],Tableau124[#All],7,FALSE)</f>
        <v>Centre Hospitalier de Sens</v>
      </c>
      <c r="I33" s="178" t="str">
        <f>VLOOKUP(Tableau17[[#This Row],[Colonne1]],Tableau124[#All],8,FALSE)</f>
        <v>Public</v>
      </c>
      <c r="J33" s="276" t="str">
        <f>VLOOKUP(Tableau17[[#This Row],[Colonne1]],Tableau124[#All],9,FALSE)</f>
        <v xml:space="preserve"> secretaddicto@ch-sens.fr </v>
      </c>
      <c r="K33" s="308" t="str">
        <f>VLOOKUP(Tableau17[[#This Row],[Colonne1]],Tableau124[#All],10,FALSE)</f>
        <v>03.86.86.15.35</v>
      </c>
      <c r="L33" s="276" t="str">
        <f>VLOOKUP(Tableau17[[#This Row],[Colonne1]],Tableau124[#All],11,FALSE)</f>
        <v>www.ch-sens.fr</v>
      </c>
      <c r="M33" s="215" t="str">
        <f>VLOOKUP(Tableau17[[#This Row],[Colonne1]],Tableau124[#All],12,FALSE)</f>
        <v xml:space="preserve"> </v>
      </c>
      <c r="N33" s="555" t="str">
        <f>VLOOKUP(Tableau17[[#This Row],[Colonne1]],Tableau124[#All],13,FALSE)</f>
        <v>- intervention auprès de public majeur ; 
- intervention en pédiatrie et dans les services MCO et EHPAD</v>
      </c>
    </row>
    <row r="34" spans="2:14" ht="86.5" customHeight="1">
      <c r="B34" s="139">
        <v>234</v>
      </c>
      <c r="C34" s="104" t="str">
        <f>VLOOKUP(Tableau17[[#This Row],[Colonne1]],Tableau124[#All],2,FALSE)</f>
        <v>Yonne (89)</v>
      </c>
      <c r="D34" s="104" t="str">
        <f>VLOOKUP(Tableau17[[#This Row],[Colonne1]],Tableau124[#All],3,FALSE)</f>
        <v>Sens</v>
      </c>
      <c r="E34" s="104" t="str">
        <f>VLOOKUP(Tableau17[[#This Row],[Colonne1]],Tableau124[#All],4,FALSE)</f>
        <v>89100</v>
      </c>
      <c r="F34" s="104" t="str">
        <f>VLOOKUP(Tableau17[[#This Row],[Colonne1]],Tableau124[#All],5,FALSE)</f>
        <v>Unité mobile d'addictologie, 5e étage, 1 avenue Pierre de Coubertin</v>
      </c>
      <c r="G34" s="104" t="str">
        <f>VLOOKUP(Tableau17[[#This Row],[Colonne1]],Tableau124[#All],6,FALSE)</f>
        <v>Consultations Hospitalières externes d'addictologie</v>
      </c>
      <c r="H34" s="104" t="str">
        <f>VLOOKUP(Tableau17[[#This Row],[Colonne1]],Tableau124[#All],7,FALSE)</f>
        <v>Centre Hospitalier de Sens</v>
      </c>
      <c r="I34" s="104" t="str">
        <f>VLOOKUP(Tableau17[[#This Row],[Colonne1]],Tableau124[#All],8,FALSE)</f>
        <v>Public</v>
      </c>
      <c r="J34" s="264" t="str">
        <f>VLOOKUP(Tableau17[[#This Row],[Colonne1]],Tableau124[#All],9,FALSE)</f>
        <v xml:space="preserve">secretaddicto@ch-sens.fr </v>
      </c>
      <c r="K34" s="200" t="str">
        <f>VLOOKUP(Tableau17[[#This Row],[Colonne1]],Tableau124[#All],10,FALSE)</f>
        <v>03.86.86.15.35</v>
      </c>
      <c r="L34" s="264" t="str">
        <f>VLOOKUP(Tableau17[[#This Row],[Colonne1]],Tableau124[#All],11,FALSE)</f>
        <v>www.ch-sens.fr</v>
      </c>
      <c r="M34" s="122" t="str">
        <f>VLOOKUP(Tableau17[[#This Row],[Colonne1]],Tableau124[#All],12,FALSE)</f>
        <v>Lundi : 14h-17h
Mercredi 9h-12h / 14h-17h
Vendredi matin : 9h -12h</v>
      </c>
      <c r="N34" s="122" t="str">
        <f>VLOOKUP(Tableau17[[#This Row],[Colonne1]],Tableau124[#All],13,FALSE)</f>
        <v>Intervention auprès de public majeurs et mineurs</v>
      </c>
    </row>
    <row r="35" spans="2:14" ht="86.5" customHeight="1">
      <c r="B35" s="139">
        <v>239</v>
      </c>
      <c r="C35" s="193" t="str">
        <f>VLOOKUP(Tableau17[[#This Row],[Colonne1]],Tableau124[#All],2,FALSE)</f>
        <v>Yonne (89)</v>
      </c>
      <c r="D35" s="193" t="str">
        <f>VLOOKUP(Tableau17[[#This Row],[Colonne1]],Tableau124[#All],3,FALSE)</f>
        <v>Sens</v>
      </c>
      <c r="E35" s="193" t="str">
        <f>VLOOKUP(Tableau17[[#This Row],[Colonne1]],Tableau124[#All],4,FALSE)</f>
        <v>89100</v>
      </c>
      <c r="F35" s="193" t="str">
        <f>VLOOKUP(Tableau17[[#This Row],[Colonne1]],Tableau124[#All],5,FALSE)</f>
        <v>Médecine Polyvalente - Médecine de Spécialités, Centre Hospitalier de Sens, 1 avenue Pierre de Coubertin</v>
      </c>
      <c r="G35" s="193" t="str">
        <f>VLOOKUP(Tableau17[[#This Row],[Colonne1]],Tableau124[#All],6,FALSE)</f>
        <v>Sevrage simple</v>
      </c>
      <c r="H35" s="193" t="str">
        <f>VLOOKUP(Tableau17[[#This Row],[Colonne1]],Tableau124[#All],7,FALSE)</f>
        <v>Centre Hospitalier de Sens</v>
      </c>
      <c r="I35" s="193" t="str">
        <f>VLOOKUP(Tableau17[[#This Row],[Colonne1]],Tableau124[#All],8,FALSE)</f>
        <v>Public</v>
      </c>
      <c r="J35" s="280" t="str">
        <f>VLOOKUP(Tableau17[[#This Row],[Colonne1]],Tableau124[#All],9,FALSE)</f>
        <v xml:space="preserve"> secretaddicto@ch-sens.fr</v>
      </c>
      <c r="K35" s="332" t="str">
        <f>VLOOKUP(Tableau17[[#This Row],[Colonne1]],Tableau124[#All],10,FALSE)</f>
        <v>03.86.86.15.35</v>
      </c>
      <c r="L35" s="280" t="str">
        <f>VLOOKUP(Tableau17[[#This Row],[Colonne1]],Tableau124[#All],11,FALSE)</f>
        <v>www.ch-sens.fr</v>
      </c>
      <c r="M35" s="215" t="str">
        <f>VLOOKUP(Tableau17[[#This Row],[Colonne1]],Tableau124[#All],12,FALSE)</f>
        <v xml:space="preserve"> </v>
      </c>
      <c r="N35" s="329" t="str">
        <f>VLOOKUP(Tableau17[[#This Row],[Colonne1]],Tableau124[#All],13,FALSE)</f>
        <v>- intervention auprès d'un public majeur ;
- lits disséminés dans différentes unités hospitalières ; 
- unité de médecine polyvalente ou médecine de spécialités</v>
      </c>
    </row>
    <row r="36" spans="2:14" ht="101.5">
      <c r="B36" s="169">
        <v>233</v>
      </c>
      <c r="C36" s="186" t="str">
        <f>VLOOKUP(Tableau17[[#This Row],[Colonne1]],Tableau124[#All],2,FALSE)</f>
        <v>Yonne (89)</v>
      </c>
      <c r="D36" s="186" t="str">
        <f>VLOOKUP(Tableau17[[#This Row],[Colonne1]],Tableau124[#All],3,FALSE)</f>
        <v>Sens</v>
      </c>
      <c r="E36" s="186">
        <f>VLOOKUP(Tableau17[[#This Row],[Colonne1]],Tableau124[#All],4,FALSE)</f>
        <v>89100</v>
      </c>
      <c r="F36" s="186" t="str">
        <f>VLOOKUP(Tableau17[[#This Row],[Colonne1]],Tableau124[#All],5,FALSE)</f>
        <v>43 rue du 19 mars 1962</v>
      </c>
      <c r="G36" s="186" t="str">
        <f>VLOOKUP(Tableau17[[#This Row],[Colonne1]],Tableau124[#All],6,FALSE)</f>
        <v>Antenne CSAPA</v>
      </c>
      <c r="H36" s="186" t="str">
        <f>VLOOKUP(Tableau17[[#This Row],[Colonne1]],Tableau124[#All],7,FALSE)</f>
        <v>CSAPA - Association Addictions France</v>
      </c>
      <c r="I36" s="186" t="str">
        <f>VLOOKUP(Tableau17[[#This Row],[Colonne1]],Tableau124[#All],8,FALSE)</f>
        <v>Associatif</v>
      </c>
      <c r="J36" s="268" t="str">
        <f>VLOOKUP(Tableau17[[#This Row],[Colonne1]],Tableau124[#All],9,FALSE)</f>
        <v>csapa.sens@addictions-france.org</v>
      </c>
      <c r="K36" s="205" t="str">
        <f>VLOOKUP(Tableau17[[#This Row],[Colonne1]],Tableau124[#All],10,FALSE)</f>
        <v>03.86.95.10.71</v>
      </c>
      <c r="L36" s="274" t="str">
        <f>VLOOKUP(Tableau17[[#This Row],[Colonne1]],Tableau124[#All],11,FALSE)</f>
        <v xml:space="preserve"> </v>
      </c>
      <c r="M36" s="100" t="str">
        <f>VLOOKUP(Tableau17[[#This Row],[Colonne1]],Tableau124[#All],12,FALSE)</f>
        <v>Lundi 9h-13h / 14h-17h Mardi 9h-13h / 14h-18h Mercredi 9h-13h / 13h30-17h Jeudi 9h-13h / 14h-19h Vendredi 9h-13h / 14h-17h</v>
      </c>
      <c r="N36" s="186" t="str">
        <f>VLOOKUP(Tableau17[[#This Row],[Colonne1]],Tableau124[#All],13,FALSE)</f>
        <v>lieux de permanences : Villeneuve/Yonne
CJC avancées qui dépendant du CSAPA de Sens: lycée Janot Curie (Sens), Collège des Champs Plaisants (Sens), Collège Montpezat (Sens), Collège Mallarmé (Sens), Collège Chateaubriand (Villeneuve/Yonne), Collège ""André Malraux"" (Paron) et Collège Restif de la Bretonne (Pont/Yonne)"</v>
      </c>
    </row>
    <row r="37" spans="2:14" ht="29">
      <c r="B37" s="169">
        <v>235</v>
      </c>
      <c r="C37" s="186" t="str">
        <f>VLOOKUP(Tableau17[[#This Row],[Colonne1]],Tableau124[#All],2,FALSE)</f>
        <v>Yonne (89)</v>
      </c>
      <c r="D37" s="100" t="str">
        <f>VLOOKUP(Tableau17[[#This Row],[Colonne1]],Tableau124[#All],3,FALSE)</f>
        <v>Sens</v>
      </c>
      <c r="E37" s="100">
        <f>VLOOKUP(Tableau17[[#This Row],[Colonne1]],Tableau124[#All],4,FALSE)</f>
        <v>89100</v>
      </c>
      <c r="F37" s="100" t="str">
        <f>VLOOKUP(Tableau17[[#This Row],[Colonne1]],Tableau124[#All],5,FALSE)</f>
        <v>CHRS Sens - 61 Bd du 14 Juillet</v>
      </c>
      <c r="G37" s="100" t="str">
        <f>VLOOKUP(Tableau17[[#This Row],[Colonne1]],Tableau124[#All],6,FALSE)</f>
        <v>CSAPA (consultations avancées)</v>
      </c>
      <c r="H37" s="100" t="str">
        <f>VLOOKUP(Tableau17[[#This Row],[Colonne1]],Tableau124[#All],7,FALSE)</f>
        <v>CSAPA - Association Addictions France - consultations avancées</v>
      </c>
      <c r="I37" s="100" t="str">
        <f>VLOOKUP(Tableau17[[#This Row],[Colonne1]],Tableau124[#All],8,FALSE)</f>
        <v>Associatif</v>
      </c>
      <c r="J37" s="268" t="str">
        <f>VLOOKUP(Tableau17[[#This Row],[Colonne1]],Tableau124[#All],9,FALSE)</f>
        <v>csapa.sens@addictions-france.org</v>
      </c>
      <c r="K37" s="205" t="str">
        <f>VLOOKUP(Tableau17[[#This Row],[Colonne1]],Tableau124[#All],10,FALSE)</f>
        <v xml:space="preserve"> 03 86 95 10 71</v>
      </c>
      <c r="L37" s="215" t="str">
        <f>VLOOKUP(Tableau17[[#This Row],[Colonne1]],Tableau124[#All],11,FALSE)</f>
        <v xml:space="preserve"> </v>
      </c>
      <c r="M37" s="100" t="str">
        <f>VLOOKUP(Tableau17[[#This Row],[Colonne1]],Tableau124[#All],12,FALSE)</f>
        <v>1 lundi matin sur 2</v>
      </c>
      <c r="N37" s="215" t="str">
        <f>VLOOKUP(Tableau17[[#This Row],[Colonne1]],Tableau124[#All],13,FALSE)</f>
        <v xml:space="preserve">  </v>
      </c>
    </row>
    <row r="38" spans="2:14" ht="29">
      <c r="B38" s="169">
        <v>236</v>
      </c>
      <c r="C38" s="186" t="str">
        <f>VLOOKUP(Tableau17[[#This Row],[Colonne1]],Tableau124[#All],2,FALSE)</f>
        <v>Yonne (89)</v>
      </c>
      <c r="D38" s="186" t="str">
        <f>VLOOKUP(Tableau17[[#This Row],[Colonne1]],Tableau124[#All],3,FALSE)</f>
        <v>Sens</v>
      </c>
      <c r="E38" s="186">
        <f>VLOOKUP(Tableau17[[#This Row],[Colonne1]],Tableau124[#All],4,FALSE)</f>
        <v>89100</v>
      </c>
      <c r="F38" s="186" t="str">
        <f>VLOOKUP(Tableau17[[#This Row],[Colonne1]],Tableau124[#All],5,FALSE)</f>
        <v>Centre Hospitalier 1 Avenue Pierre de Coubertin</v>
      </c>
      <c r="G38" s="186" t="str">
        <f>VLOOKUP(Tableau17[[#This Row],[Colonne1]],Tableau124[#All],6,FALSE)</f>
        <v>CSAPA (consultations avancées)</v>
      </c>
      <c r="H38" s="186" t="str">
        <f>VLOOKUP(Tableau17[[#This Row],[Colonne1]],Tableau124[#All],7,FALSE)</f>
        <v>CSAPA - Association Addictions France - consultations avancées</v>
      </c>
      <c r="I38" s="186" t="str">
        <f>VLOOKUP(Tableau17[[#This Row],[Colonne1]],Tableau124[#All],8,FALSE)</f>
        <v>Associatif</v>
      </c>
      <c r="J38" s="268" t="str">
        <f>VLOOKUP(Tableau17[[#This Row],[Colonne1]],Tableau124[#All],9,FALSE)</f>
        <v>bfc89@addictions-france.org</v>
      </c>
      <c r="K38" s="205" t="str">
        <f>VLOOKUP(Tableau17[[#This Row],[Colonne1]],Tableau124[#All],10,FALSE)</f>
        <v>03 86 92 33 33</v>
      </c>
      <c r="L38" s="268" t="str">
        <f>VLOOKUP(Tableau17[[#This Row],[Colonne1]],Tableau124[#All],11,FALSE)</f>
        <v>www.addictions-france.org</v>
      </c>
      <c r="M38" s="100" t="str">
        <f>VLOOKUP(Tableau17[[#This Row],[Colonne1]],Tableau124[#All],12,FALSE)</f>
        <v>le mercredi  de 9h à 12h30</v>
      </c>
      <c r="N38" s="100" t="str">
        <f>VLOOKUP(Tableau17[[#This Row],[Colonne1]],Tableau124[#All],13,FALSE)</f>
        <v>Réalisation de consultations avancées</v>
      </c>
    </row>
    <row r="39" spans="2:14" ht="29">
      <c r="B39" s="169">
        <v>237</v>
      </c>
      <c r="C39" s="186" t="str">
        <f>VLOOKUP(Tableau17[[#This Row],[Colonne1]],Tableau124[#All],2,FALSE)</f>
        <v>Yonne (89)</v>
      </c>
      <c r="D39" s="186" t="str">
        <f>VLOOKUP(Tableau17[[#This Row],[Colonne1]],Tableau124[#All],3,FALSE)</f>
        <v>Sens</v>
      </c>
      <c r="E39" s="186">
        <f>VLOOKUP(Tableau17[[#This Row],[Colonne1]],Tableau124[#All],4,FALSE)</f>
        <v>89100</v>
      </c>
      <c r="F39" s="186" t="str">
        <f>VLOOKUP(Tableau17[[#This Row],[Colonne1]],Tableau124[#All],5,FALSE)</f>
        <v>CHRS 61 Boulevard du 14 juillet</v>
      </c>
      <c r="G39" s="186" t="str">
        <f>VLOOKUP(Tableau17[[#This Row],[Colonne1]],Tableau124[#All],6,FALSE)</f>
        <v>CSAPA (consultations avancées)</v>
      </c>
      <c r="H39" s="186" t="str">
        <f>VLOOKUP(Tableau17[[#This Row],[Colonne1]],Tableau124[#All],7,FALSE)</f>
        <v>CSAPA - Association Addictions France - consultations avancées</v>
      </c>
      <c r="I39" s="186" t="str">
        <f>VLOOKUP(Tableau17[[#This Row],[Colonne1]],Tableau124[#All],8,FALSE)</f>
        <v>Associatif</v>
      </c>
      <c r="J39" s="270" t="str">
        <f>VLOOKUP(Tableau17[[#This Row],[Colonne1]],Tableau124[#All],9,FALSE)</f>
        <v>bfc89@addictions-france.org</v>
      </c>
      <c r="K39" s="211" t="str">
        <f>VLOOKUP(Tableau17[[#This Row],[Colonne1]],Tableau124[#All],10,FALSE)</f>
        <v>03.86.51.46.101</v>
      </c>
      <c r="L39" s="268" t="str">
        <f>VLOOKUP(Tableau17[[#This Row],[Colonne1]],Tableau124[#All],11,FALSE)</f>
        <v>www.addictions-france.org</v>
      </c>
      <c r="M39" s="186" t="str">
        <f>VLOOKUP(Tableau17[[#This Row],[Colonne1]],Tableau124[#All],12,FALSE)</f>
        <v>1 lundi sur 2 de 9h30 à 15h</v>
      </c>
      <c r="N39" s="186" t="str">
        <f>VLOOKUP(Tableau17[[#This Row],[Colonne1]],Tableau124[#All],13,FALSE)</f>
        <v>Réalisation de consultations avancées</v>
      </c>
    </row>
  </sheetData>
  <mergeCells count="1">
    <mergeCell ref="C3:O3"/>
  </mergeCells>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e72b05f-3b49-42d5-a192-cb35e5cc5da6">
      <UserInfo>
        <DisplayName/>
        <AccountId xsi:nil="true"/>
        <AccountType/>
      </UserInfo>
    </SharedWithUsers>
    <lcf76f155ced4ddcb4097134ff3c332f xmlns="39e04336-b79b-4911-82fb-339816de8f86">
      <Terms xmlns="http://schemas.microsoft.com/office/infopath/2007/PartnerControls"/>
    </lcf76f155ced4ddcb4097134ff3c332f>
    <TaxCatchAll xmlns="0e72b05f-3b49-42d5-a192-cb35e5cc5da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A8A221E03A4A4492C58422F92E7DCE" ma:contentTypeVersion="15" ma:contentTypeDescription="Crée un document." ma:contentTypeScope="" ma:versionID="fa2e020d20795d18782c95702bb25aa5">
  <xsd:schema xmlns:xsd="http://www.w3.org/2001/XMLSchema" xmlns:xs="http://www.w3.org/2001/XMLSchema" xmlns:p="http://schemas.microsoft.com/office/2006/metadata/properties" xmlns:ns2="39e04336-b79b-4911-82fb-339816de8f86" xmlns:ns3="0e72b05f-3b49-42d5-a192-cb35e5cc5da6" targetNamespace="http://schemas.microsoft.com/office/2006/metadata/properties" ma:root="true" ma:fieldsID="f9f2c43251c2f4ce2561d05c11a0dd59" ns2:_="" ns3:_="">
    <xsd:import namespace="39e04336-b79b-4911-82fb-339816de8f86"/>
    <xsd:import namespace="0e72b05f-3b49-42d5-a192-cb35e5cc5d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e04336-b79b-4911-82fb-339816de8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72b05f-3b49-42d5-a192-cb35e5cc5da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619b36b-3a57-4ff5-aef6-537fa54bebef}" ma:internalName="TaxCatchAll" ma:showField="CatchAllData" ma:web="0e72b05f-3b49-42d5-a192-cb35e5cc5da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32503C-A4CD-43AE-90F6-A1D8261EAECA}">
  <ds:schemaRefs>
    <ds:schemaRef ds:uri="http://schemas.openxmlformats.org/package/2006/metadata/core-properties"/>
    <ds:schemaRef ds:uri="http://purl.org/dc/elements/1.1/"/>
    <ds:schemaRef ds:uri="39e04336-b79b-4911-82fb-339816de8f86"/>
    <ds:schemaRef ds:uri="http://schemas.microsoft.com/office/infopath/2007/PartnerControls"/>
    <ds:schemaRef ds:uri="http://purl.org/dc/dcmitype/"/>
    <ds:schemaRef ds:uri="http://purl.org/dc/terms/"/>
    <ds:schemaRef ds:uri="http://schemas.microsoft.com/office/2006/documentManagement/types"/>
    <ds:schemaRef ds:uri="0e72b05f-3b49-42d5-a192-cb35e5cc5da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C576DB1-064D-4122-B22C-789C66636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e04336-b79b-4911-82fb-339816de8f86"/>
    <ds:schemaRef ds:uri="0e72b05f-3b49-42d5-a192-cb35e5cc5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837F94-2849-487B-B19D-C5348111DE2B}">
  <ds:schemaRefs>
    <ds:schemaRef ds:uri="http://schemas.microsoft.com/sharepoint/v3/contenttype/forms"/>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13</vt:i4>
      </vt:variant>
    </vt:vector>
  </HeadingPairs>
  <TitlesOfParts>
    <vt:vector size="31" baseType="lpstr">
      <vt:lpstr>Présentation globale</vt:lpstr>
      <vt:lpstr>Accès via professionnels </vt:lpstr>
      <vt:lpstr>Cotes d'Or (21)</vt:lpstr>
      <vt:lpstr>Jura (39)</vt:lpstr>
      <vt:lpstr>Nievre (58)</vt:lpstr>
      <vt:lpstr>Doubs (25)</vt:lpstr>
      <vt:lpstr>Haute-Saône (70)</vt:lpstr>
      <vt:lpstr>Saône-et-Loire (71)</vt:lpstr>
      <vt:lpstr>Yonne (89)</vt:lpstr>
      <vt:lpstr>Territoire de Belfort (90)</vt:lpstr>
      <vt:lpstr>Nord-Franche-Comté</vt:lpstr>
      <vt:lpstr>Sevrage simple</vt:lpstr>
      <vt:lpstr>Soins complexes</vt:lpstr>
      <vt:lpstr>ELSA</vt:lpstr>
      <vt:lpstr>Hospi de jour</vt:lpstr>
      <vt:lpstr>Penitentier</vt:lpstr>
      <vt:lpstr>SSRA2</vt:lpstr>
      <vt:lpstr>Acces direct</vt:lpstr>
      <vt:lpstr>hospijour</vt:lpstr>
      <vt:lpstr>medico</vt:lpstr>
      <vt:lpstr>'Hospi de jour'!péni</vt:lpstr>
      <vt:lpstr>Penitentier!péni</vt:lpstr>
      <vt:lpstr>péni</vt:lpstr>
      <vt:lpstr>sanitaire</vt:lpstr>
      <vt:lpstr>sommaire</vt:lpstr>
      <vt:lpstr>Penitentier!SSRA2</vt:lpstr>
      <vt:lpstr>SSRA2</vt:lpstr>
      <vt:lpstr>Penitentier!ssrasani</vt:lpstr>
      <vt:lpstr>ssrasani</vt:lpstr>
      <vt:lpstr>'Acces direct'!toutes_ss</vt:lpstr>
      <vt:lpstr>toutes_ss</vt:lpstr>
    </vt:vector>
  </TitlesOfParts>
  <Manager/>
  <Company>KPMG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Romeas, Alexandre</dc:creator>
  <cp:keywords/>
  <dc:description/>
  <cp:lastModifiedBy>Courant, Cecile</cp:lastModifiedBy>
  <cp:revision/>
  <dcterms:created xsi:type="dcterms:W3CDTF">2021-09-09T06:14:05Z</dcterms:created>
  <dcterms:modified xsi:type="dcterms:W3CDTF">2025-02-27T16:11:46Z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0x0101002AA8A221E03A4A4492C58422F92E7DCE</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